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AquestLlibreDeTreball"/>
  <mc:AlternateContent xmlns:mc="http://schemas.openxmlformats.org/markup-compatibility/2006">
    <mc:Choice Requires="x15">
      <x15ac:absPath xmlns:x15ac="http://schemas.microsoft.com/office/spreadsheetml/2010/11/ac" url="I:\DICODIS\Internet\Site_Anses\3.Avis et autres\00-PUBLICATIONS AVIS\AVIS\AVIS SAISINE\"/>
    </mc:Choice>
  </mc:AlternateContent>
  <bookViews>
    <workbookView xWindow="1215" yWindow="480" windowWidth="18765" windowHeight="11235"/>
  </bookViews>
  <sheets>
    <sheet name="Introduction" sheetId="8" r:id="rId1"/>
    <sheet name="Choix des indicateurs" sheetId="4" r:id="rId2"/>
    <sheet name="Taille des échantillons" sheetId="1" r:id="rId3"/>
    <sheet name="Résultats de l'échantillonnage" sheetId="5" r:id="rId4"/>
    <sheet name="Formules et données" sheetId="3"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5" i="3" l="1"/>
  <c r="D8" i="1" l="1"/>
  <c r="D9" i="1"/>
  <c r="D7" i="1"/>
  <c r="C13" i="5" l="1"/>
  <c r="G35" i="3" l="1"/>
  <c r="D17" i="3" l="1"/>
  <c r="G17" i="3"/>
  <c r="J35" i="3" l="1"/>
  <c r="R35" i="3" s="1"/>
  <c r="D35" i="3"/>
  <c r="H35" i="3"/>
  <c r="B35" i="3"/>
  <c r="C35" i="3" l="1"/>
  <c r="D33" i="3"/>
  <c r="D34" i="3"/>
  <c r="B33" i="3"/>
  <c r="B34" i="3"/>
  <c r="C33" i="3"/>
  <c r="C34" i="3"/>
  <c r="AC12" i="3" l="1"/>
  <c r="AE12" i="3"/>
  <c r="AG12" i="3"/>
  <c r="AB5" i="3"/>
  <c r="AB7" i="3"/>
  <c r="B28" i="3" l="1"/>
  <c r="B9" i="4" s="1"/>
  <c r="B12" i="1" l="1"/>
  <c r="E13" i="5" l="1"/>
  <c r="D13" i="5"/>
  <c r="E31" i="3"/>
  <c r="F31" i="3"/>
  <c r="M33" i="3" s="1"/>
  <c r="G31" i="3"/>
  <c r="N33" i="3" s="1"/>
  <c r="H31" i="3"/>
  <c r="I31" i="3"/>
  <c r="J31" i="3"/>
  <c r="E32" i="3"/>
  <c r="F32" i="3"/>
  <c r="G32" i="3"/>
  <c r="H32" i="3"/>
  <c r="I32" i="3"/>
  <c r="J32" i="3"/>
  <c r="E33" i="3"/>
  <c r="F33" i="3"/>
  <c r="G33" i="3"/>
  <c r="H33" i="3"/>
  <c r="I33" i="3"/>
  <c r="J33" i="3"/>
  <c r="E34" i="3"/>
  <c r="F34" i="3"/>
  <c r="G34" i="3"/>
  <c r="H34" i="3"/>
  <c r="I34" i="3"/>
  <c r="J34" i="3"/>
  <c r="E35" i="3"/>
  <c r="F35" i="3"/>
  <c r="I35" i="3"/>
  <c r="C31" i="3"/>
  <c r="D31" i="3"/>
  <c r="C32" i="3"/>
  <c r="D32" i="3"/>
  <c r="B32" i="3"/>
  <c r="B31" i="3"/>
  <c r="AF14" i="3" l="1"/>
  <c r="AF15" i="3"/>
  <c r="P33" i="3"/>
  <c r="O33" i="3"/>
  <c r="R33" i="3"/>
  <c r="O35" i="3"/>
  <c r="Q33" i="3"/>
  <c r="J18" i="4" s="1"/>
  <c r="Q35" i="3"/>
  <c r="J23" i="4" s="1"/>
  <c r="O31" i="3"/>
  <c r="Q31" i="3"/>
  <c r="J13" i="4" s="1"/>
  <c r="M31" i="3"/>
  <c r="J24" i="4"/>
  <c r="P35" i="3"/>
  <c r="P31" i="3"/>
  <c r="R31" i="3"/>
  <c r="J14" i="4" s="1"/>
  <c r="N31" i="3"/>
  <c r="J19" i="4"/>
  <c r="AH14" i="3"/>
  <c r="AH15" i="3"/>
  <c r="AH13" i="3"/>
  <c r="AF13" i="3"/>
  <c r="AD14" i="3"/>
  <c r="AD15" i="3"/>
  <c r="AD13" i="3"/>
  <c r="AH6" i="3" l="1"/>
  <c r="C15" i="5"/>
  <c r="D15" i="5"/>
  <c r="E15" i="5"/>
  <c r="E16" i="5"/>
  <c r="D16" i="5"/>
  <c r="C16" i="5" l="1"/>
  <c r="M35" i="3"/>
  <c r="H23" i="4" s="1"/>
  <c r="I23" i="4"/>
  <c r="I18" i="4"/>
  <c r="H18" i="4"/>
  <c r="H19" i="4"/>
  <c r="I13" i="4"/>
  <c r="H13" i="4"/>
  <c r="H14" i="4"/>
  <c r="I24" i="4"/>
  <c r="N35" i="3"/>
  <c r="H24" i="4" s="1"/>
  <c r="I19" i="4"/>
  <c r="I14" i="4"/>
  <c r="G23" i="4" l="1"/>
  <c r="G18" i="4"/>
  <c r="G13" i="4"/>
  <c r="G24" i="4"/>
  <c r="E8" i="5" s="1"/>
  <c r="G19" i="4"/>
  <c r="D8" i="5" s="1"/>
  <c r="G14" i="4"/>
  <c r="C8" i="5" s="1"/>
  <c r="C7" i="5" l="1"/>
  <c r="C15" i="1"/>
  <c r="D7" i="5"/>
  <c r="C16" i="1"/>
  <c r="D16" i="1" s="1"/>
  <c r="E7" i="5"/>
  <c r="C17" i="1"/>
  <c r="D17" i="1" s="1"/>
  <c r="C18" i="1" l="1"/>
  <c r="D18" i="1" s="1"/>
  <c r="D15" i="1"/>
  <c r="AA5" i="3"/>
  <c r="AE18" i="3"/>
  <c r="AE13" i="3" s="1"/>
  <c r="AG18" i="3"/>
  <c r="AG13" i="3" s="1"/>
  <c r="AC18" i="3"/>
  <c r="AC13" i="3" s="1"/>
  <c r="AD7" i="3" l="1"/>
  <c r="AD5" i="3"/>
  <c r="AD8" i="3"/>
  <c r="AD6" i="3"/>
  <c r="AE14" i="3" l="1"/>
  <c r="AE19" i="3" s="1"/>
  <c r="AE20" i="3"/>
  <c r="AF17" i="3" s="1"/>
  <c r="AF19" i="3" s="1"/>
  <c r="AC14" i="3"/>
  <c r="AC19" i="3" s="1"/>
  <c r="AC15" i="3"/>
  <c r="AC20" i="3" s="1"/>
  <c r="AD17" i="3" s="1"/>
  <c r="AD19" i="3" s="1"/>
  <c r="AG15" i="3"/>
  <c r="AG20" i="3" s="1"/>
  <c r="AG14" i="3"/>
  <c r="AG19" i="3" s="1"/>
</calcChain>
</file>

<file path=xl/comments1.xml><?xml version="1.0" encoding="utf-8"?>
<comments xmlns="http://schemas.openxmlformats.org/spreadsheetml/2006/main">
  <authors>
    <author>Usuario</author>
  </authors>
  <commentList>
    <comment ref="C17" authorId="0" shapeId="0">
      <text>
        <r>
          <rPr>
            <b/>
            <sz val="9"/>
            <color indexed="81"/>
            <rFont val="Tahoma"/>
            <family val="2"/>
          </rPr>
          <t>Usuario:</t>
        </r>
        <r>
          <rPr>
            <sz val="9"/>
            <color indexed="81"/>
            <rFont val="Tahoma"/>
            <family val="2"/>
          </rPr>
          <t xml:space="preserve">
Je crois qu'il est convenient d'introduire un commentaire comme celui-ci</t>
        </r>
      </text>
    </comment>
  </commentList>
</comments>
</file>

<file path=xl/sharedStrings.xml><?xml version="1.0" encoding="utf-8"?>
<sst xmlns="http://schemas.openxmlformats.org/spreadsheetml/2006/main" count="181" uniqueCount="103">
  <si>
    <t>Echantillonnage pour déterminer la prévalence d'échecs avec Se et Sp different à 100%</t>
  </si>
  <si>
    <t>Se</t>
  </si>
  <si>
    <t>Sp</t>
  </si>
  <si>
    <t>https://en.wikipedia.org/wiki/Binomial_proportion_confidence_interval</t>
  </si>
  <si>
    <t xml:space="preserve">        Minimale:</t>
  </si>
  <si>
    <t xml:space="preserve">       Maximale:</t>
  </si>
  <si>
    <t>To calculate the conf interv</t>
  </si>
  <si>
    <t>Prévalence réelle</t>
  </si>
  <si>
    <t>z=</t>
  </si>
  <si>
    <t>z^2 =</t>
  </si>
  <si>
    <t>réel</t>
  </si>
  <si>
    <t>Appar</t>
  </si>
  <si>
    <t>NEWCOMBE R.G. Two-sided confidence intervals for the single proportion: comparison of seven methods. Statist. Med. 17, 857Ð872 (1998)</t>
  </si>
  <si>
    <t>(Wilson score method)</t>
  </si>
  <si>
    <t xml:space="preserve">        Moyenne:</t>
  </si>
  <si>
    <t>z (1,96 pour niv. confiance 95%):</t>
  </si>
  <si>
    <t>Respiration</t>
  </si>
  <si>
    <t>Sortie du bain</t>
  </si>
  <si>
    <t>Clignement spontané</t>
  </si>
  <si>
    <t>Indicateur 1:</t>
  </si>
  <si>
    <t>Indicateur 2:</t>
  </si>
  <si>
    <t>Égoutage</t>
  </si>
  <si>
    <t>Échaudage</t>
  </si>
  <si>
    <t>Indic. 1</t>
  </si>
  <si>
    <t>Indic. 2</t>
  </si>
  <si>
    <t>Tonus musculaire</t>
  </si>
  <si>
    <t>Calcul de l'intervalle de confiance: Wilson score interval</t>
  </si>
  <si>
    <t>Redressement du cou*</t>
  </si>
  <si>
    <t>Absence phase tonique**</t>
  </si>
  <si>
    <t>Etourdissement électrique</t>
  </si>
  <si>
    <t>Etourdissement gazeux</t>
  </si>
  <si>
    <t>Etourdissement  gazeux</t>
  </si>
  <si>
    <t>Sortie bain</t>
  </si>
  <si>
    <t>** tension musculaire (Tonic seizures in EFSA document)</t>
  </si>
  <si>
    <t xml:space="preserve"> =</t>
  </si>
  <si>
    <t>Absence phase tonique</t>
  </si>
  <si>
    <t xml:space="preserve"> </t>
  </si>
  <si>
    <t>Canon et Roe (de la saisine sur échantillonnage):</t>
  </si>
  <si>
    <t>Indicateur 3:</t>
  </si>
  <si>
    <t xml:space="preserve">  - aucun autre control</t>
  </si>
  <si>
    <t>Indic. 3</t>
  </si>
  <si>
    <t>1er indicateur</t>
  </si>
  <si>
    <t>2ème indicat.</t>
  </si>
  <si>
    <t>3ème indicat.</t>
  </si>
  <si>
    <t>* Tête relevée (Muscle tone in EFSA)</t>
  </si>
  <si>
    <t>Type d'étourdissement:</t>
  </si>
  <si>
    <t>1.- Choisir le type d'étourdissement</t>
  </si>
  <si>
    <t>Onglet "Résultats de l'échantillonnage"</t>
  </si>
  <si>
    <t>En gris: valeurs obtenus en autres points d'observation</t>
  </si>
  <si>
    <t>Données utilisés pour les calculassions (copies á cette table en fonction du type d'étourdissement):</t>
  </si>
  <si>
    <t>Calculassions diverses, ne éfacer pas:</t>
  </si>
  <si>
    <t>Onglet "Choix des indicateurs"</t>
  </si>
  <si>
    <t>Réflexe oculaire</t>
  </si>
  <si>
    <t>Total</t>
  </si>
  <si>
    <t xml:space="preserve">En gris clair: valeurs de Sp du rapport EFSA </t>
  </si>
  <si>
    <t>Données pour définir les tests utilises (n'éfacer pas)</t>
  </si>
  <si>
    <t>Niveau de confiance</t>
  </si>
  <si>
    <t>Sortie d'étourdissement</t>
  </si>
  <si>
    <t>Battement d'ailes</t>
  </si>
  <si>
    <t>Combinaison</t>
  </si>
  <si>
    <t xml:space="preserve">Se </t>
  </si>
  <si>
    <t xml:space="preserve">Sp </t>
  </si>
  <si>
    <t>Nombre d'animaux</t>
  </si>
  <si>
    <t>Taille des échantillons selon point d'observation</t>
  </si>
  <si>
    <t>Fraction d'échantillonnage</t>
  </si>
  <si>
    <t>Proportion d'échecs en fonction des objectifs (T1) fixés aux trois points d'observation</t>
  </si>
  <si>
    <t>Egouttage</t>
  </si>
  <si>
    <t>Echaudage</t>
  </si>
  <si>
    <t xml:space="preserve">Échantillon </t>
  </si>
  <si>
    <t>Nombre d'animaux observés</t>
  </si>
  <si>
    <t>Animaux positifs à au moins un indicateur</t>
  </si>
  <si>
    <t>Se combinaison d'indicateurs</t>
  </si>
  <si>
    <t>Sp combinaison d'indicateurs</t>
  </si>
  <si>
    <t>Égouttage</t>
  </si>
  <si>
    <t>Intervalle de confiance à 95 %</t>
  </si>
  <si>
    <t xml:space="preserve">       Prévalence maximale:</t>
  </si>
  <si>
    <t>Prévalence apparente des échecs à l'étourdissement</t>
  </si>
  <si>
    <t xml:space="preserve">2.- Choisir entre 2 et 3 indicateurs aux trois points d'observation </t>
  </si>
  <si>
    <t xml:space="preserve">   Sortie d'étourdissement </t>
  </si>
  <si>
    <t xml:space="preserve">   Égouttage</t>
  </si>
  <si>
    <t xml:space="preserve">   Échaudage</t>
  </si>
  <si>
    <t xml:space="preserve">       Prévalence minimale:</t>
  </si>
  <si>
    <t>Objectifs et taille des échantillons à observer à chaque point d'observation</t>
  </si>
  <si>
    <t>Choix des indicateurs de concience pour chaque point d'observation</t>
  </si>
  <si>
    <t>Les tableaux à droite des menus de choix des indicateurs pour chaque point d'observation, donnent les Se et Sp globales pour la combinaison et pour chaque indicateur dans les colonnes du tableau.</t>
  </si>
  <si>
    <t xml:space="preserve">  1-  définir dans le menu déroulant le type d'étourdissement.
  2- choisir ensuite  avec les menus déroulants entre deux et trois indicateurs pour chaque point d'observation (la recommandation est d'utiliser trois indicateurs)
</t>
  </si>
  <si>
    <t>Onglet "Taille des échantillons"</t>
  </si>
  <si>
    <t>Si la prévalence apparente obtenue est supérieure à celle qui était fixée, le résultat apparaît en rouge, des mesures correctrices doivent être envisagées.</t>
  </si>
  <si>
    <t xml:space="preserve">  1- La taille de la population d’échantillonnage (nombre d'animaux abattus par jour ou période de temps)</t>
  </si>
  <si>
    <t xml:space="preserve">  2- La proportion d'échecs qui est le taux de prévalence apparente des échecs à l’étourdissement fixé (T1) </t>
  </si>
  <si>
    <t xml:space="preserve"> Le niveau de confiance souhaité (probabilité que la vraie valeur se situe dans l’intervalle de confiance) est fixé à 95 %</t>
  </si>
  <si>
    <t>En fonction des indicateurs choisis dans l'onglet "choix des indicateurs",  le tableur utilise la sensibilité de la combinaision pour chaque point d'obsevation  et le T1 fixé pour déterminer la taille de l'échantillon</t>
  </si>
  <si>
    <r>
      <t xml:space="preserve">A partir de la taille de l'échantillon observé et du nombre d'échecs à chaque point d'observation, </t>
    </r>
    <r>
      <rPr>
        <b/>
        <sz val="12"/>
        <color theme="1"/>
        <rFont val="Calibri"/>
        <family val="2"/>
        <scheme val="minor"/>
      </rPr>
      <t xml:space="preserve">le tableur Excel donne la prévalence apparente avec ses intervalles de confiance pour chaque point d’observation dans le dernier tableau de couleur orange. </t>
    </r>
  </si>
  <si>
    <r>
      <t xml:space="preserve">Le tableur donne la taille des échantillons à observer pour chaque point d'observation en nombre d'animaux et en fraction d'échantillonnage (taille d'échantillon/taille de la population d'échantillonnage en %).
</t>
    </r>
    <r>
      <rPr>
        <b/>
        <sz val="12"/>
        <color rgb="FFFF0000"/>
        <rFont val="Calibri"/>
        <family val="2"/>
        <scheme val="minor"/>
      </rPr>
      <t xml:space="preserve">Les chiffres obtenus avec ce tableur peuvent ne pas être identiques à ceux du rapport en raison de valeurs arrondies des performances des combinaisons d'indicateurs dans les formules. </t>
    </r>
  </si>
  <si>
    <r>
      <rPr>
        <b/>
        <sz val="16"/>
        <rFont val="Calibri"/>
        <family val="2"/>
        <scheme val="minor"/>
      </rPr>
      <t>Résultats</t>
    </r>
    <r>
      <rPr>
        <b/>
        <sz val="16"/>
        <color theme="1"/>
        <rFont val="Calibri"/>
        <family val="2"/>
        <scheme val="minor"/>
      </rPr>
      <t xml:space="preserve"> de l'échantillonnage</t>
    </r>
  </si>
  <si>
    <t>AVERTISSEMENT AUX UTILISATEURS : en cas de modification accidentelle des données ou formules, fermez puis télechargez de nouveau le tableur sur le site de l'Anses</t>
  </si>
  <si>
    <t>Pour calculer la prévalence apparente des échecs à l'étourdissement pour chaque point d'observation,  remplir les cellules du tableau de couleur bleue avec les observations réalisées :
1- taille de l'échantillon observé à chaque point d'observation
2-  nombre d'animaux détectés positifs à chaque point d'observation.</t>
  </si>
  <si>
    <t>Pour calculer la taille de l'échantillon, c'est-à-dire le nombre d'animaux à observer, indiquer dans les cellules de couleur bleue :</t>
  </si>
  <si>
    <t>Taille de la population</t>
  </si>
  <si>
    <t>valeur absolue</t>
  </si>
  <si>
    <t xml:space="preserve"> pourcentage d'animaux</t>
  </si>
  <si>
    <t>indiquée dans l'onglet "Taille des échantillons"</t>
  </si>
  <si>
    <t>Le résultat apparaît en rouge si il est plus élevé que la valeur attendue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</si>
</sst>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4"/>
      <color rgb="FFFF0000"/>
      <name val="Calibri"/>
      <family val="2"/>
      <scheme val="minor"/>
    </font>
    <font>
      <sz val="11"/>
      <color theme="0" tint="-0.34998626667073579"/>
      <name val="Calibri"/>
      <family val="2"/>
      <scheme val="minor"/>
    </font>
    <font>
      <b/>
      <sz val="11"/>
      <name val="Calibri"/>
      <family val="2"/>
      <scheme val="minor"/>
    </font>
    <font>
      <sz val="10"/>
      <color theme="1"/>
      <name val="Calibri"/>
      <family val="2"/>
      <scheme val="minor"/>
    </font>
    <font>
      <sz val="11"/>
      <color rgb="FFFF0000"/>
      <name val="Calibri"/>
      <family val="2"/>
      <scheme val="minor"/>
    </font>
    <font>
      <sz val="14"/>
      <color theme="1"/>
      <name val="Calibri"/>
      <family val="2"/>
      <scheme val="minor"/>
    </font>
    <font>
      <sz val="12"/>
      <color theme="1"/>
      <name val="Calibri"/>
      <family val="2"/>
      <scheme val="minor"/>
    </font>
    <font>
      <sz val="12"/>
      <color theme="0" tint="-0.34998626667073579"/>
      <name val="Calibri"/>
      <family val="2"/>
      <scheme val="minor"/>
    </font>
    <font>
      <b/>
      <sz val="12"/>
      <color theme="1"/>
      <name val="Calibri"/>
      <family val="2"/>
      <scheme val="minor"/>
    </font>
    <font>
      <b/>
      <sz val="20"/>
      <color rgb="FFFF0000"/>
      <name val="Calibri"/>
      <family val="2"/>
      <scheme val="minor"/>
    </font>
    <font>
      <b/>
      <sz val="16"/>
      <name val="Calibri"/>
      <family val="2"/>
      <scheme val="minor"/>
    </font>
    <font>
      <sz val="9"/>
      <color indexed="81"/>
      <name val="Tahoma"/>
      <family val="2"/>
    </font>
    <font>
      <b/>
      <sz val="9"/>
      <color indexed="81"/>
      <name val="Tahoma"/>
      <family val="2"/>
    </font>
    <font>
      <b/>
      <sz val="12"/>
      <color rgb="FFFF0000"/>
      <name val="Calibri"/>
      <family val="2"/>
      <scheme val="minor"/>
    </font>
    <font>
      <b/>
      <sz val="12"/>
      <name val="Calibri"/>
      <family val="2"/>
      <scheme val="minor"/>
    </font>
    <font>
      <b/>
      <sz val="14"/>
      <color theme="1"/>
      <name val="Calibri"/>
      <family val="2"/>
      <scheme val="minor"/>
    </font>
    <font>
      <b/>
      <sz val="16"/>
      <color theme="1"/>
      <name val="Calibri"/>
      <family val="2"/>
      <scheme val="minor"/>
    </font>
    <font>
      <sz val="11"/>
      <color rgb="FFC00000"/>
      <name val="Calibri"/>
      <family val="2"/>
      <scheme val="minor"/>
    </font>
    <font>
      <sz val="11"/>
      <color theme="0"/>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00B0F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07">
    <xf numFmtId="0" fontId="0" fillId="0" borderId="0" xfId="0"/>
    <xf numFmtId="0" fontId="0" fillId="0" borderId="4" xfId="0" applyBorder="1"/>
    <xf numFmtId="0" fontId="0" fillId="0" borderId="9" xfId="0" applyBorder="1"/>
    <xf numFmtId="0" fontId="3" fillId="0" borderId="0" xfId="0" applyFont="1"/>
    <xf numFmtId="0" fontId="6" fillId="0" borderId="4" xfId="0" applyFont="1" applyBorder="1"/>
    <xf numFmtId="0" fontId="6" fillId="0" borderId="5" xfId="0" applyFont="1" applyBorder="1"/>
    <xf numFmtId="0" fontId="6" fillId="0" borderId="6" xfId="0" applyFont="1" applyBorder="1"/>
    <xf numFmtId="0" fontId="6" fillId="0" borderId="7" xfId="0" applyFont="1" applyBorder="1"/>
    <xf numFmtId="0" fontId="6" fillId="0" borderId="0" xfId="0" applyFont="1" applyBorder="1"/>
    <xf numFmtId="0" fontId="6" fillId="0" borderId="8" xfId="0" applyFont="1" applyBorder="1"/>
    <xf numFmtId="1" fontId="6" fillId="0" borderId="0" xfId="0" applyNumberFormat="1" applyFont="1" applyBorder="1"/>
    <xf numFmtId="0" fontId="6" fillId="0" borderId="9" xfId="0" applyFont="1" applyBorder="1"/>
    <xf numFmtId="0" fontId="6" fillId="0" borderId="10" xfId="0" applyFont="1" applyBorder="1"/>
    <xf numFmtId="0" fontId="6" fillId="0" borderId="11" xfId="0" applyFont="1" applyBorder="1"/>
    <xf numFmtId="0" fontId="6" fillId="0" borderId="0" xfId="0" applyFont="1" applyBorder="1" applyAlignment="1">
      <alignment horizontal="center"/>
    </xf>
    <xf numFmtId="0" fontId="0" fillId="0" borderId="0" xfId="0" applyBorder="1"/>
    <xf numFmtId="0" fontId="0" fillId="0" borderId="8" xfId="0" applyBorder="1"/>
    <xf numFmtId="0" fontId="6" fillId="0" borderId="7" xfId="0" applyFont="1" applyBorder="1" applyAlignment="1">
      <alignment horizontal="center"/>
    </xf>
    <xf numFmtId="0" fontId="0" fillId="0" borderId="10" xfId="0" applyBorder="1"/>
    <xf numFmtId="0" fontId="6" fillId="0" borderId="0" xfId="0" applyFont="1"/>
    <xf numFmtId="0" fontId="0" fillId="0" borderId="7" xfId="0" applyBorder="1"/>
    <xf numFmtId="0" fontId="2" fillId="0" borderId="0" xfId="0" applyFont="1"/>
    <xf numFmtId="0" fontId="0" fillId="0" borderId="0" xfId="0" applyFont="1"/>
    <xf numFmtId="0" fontId="8" fillId="0" borderId="0" xfId="0" applyFont="1" applyAlignment="1">
      <alignment vertical="center"/>
    </xf>
    <xf numFmtId="0" fontId="0" fillId="0" borderId="1" xfId="0" applyBorder="1" applyAlignment="1">
      <alignment horizontal="left"/>
    </xf>
    <xf numFmtId="0" fontId="0" fillId="0" borderId="0" xfId="0" applyFill="1" applyBorder="1"/>
    <xf numFmtId="0" fontId="9" fillId="0" borderId="4" xfId="0" applyFont="1" applyBorder="1"/>
    <xf numFmtId="0" fontId="9" fillId="0" borderId="5" xfId="0" applyFont="1" applyBorder="1"/>
    <xf numFmtId="0" fontId="9" fillId="0" borderId="6" xfId="0" applyFont="1" applyBorder="1"/>
    <xf numFmtId="0" fontId="0" fillId="0" borderId="5" xfId="0" applyBorder="1"/>
    <xf numFmtId="0" fontId="0" fillId="0" borderId="6" xfId="0" applyBorder="1"/>
    <xf numFmtId="0" fontId="0" fillId="0" borderId="11" xfId="0" applyBorder="1"/>
    <xf numFmtId="1" fontId="6" fillId="0" borderId="7" xfId="0" applyNumberFormat="1" applyFont="1" applyBorder="1"/>
    <xf numFmtId="164" fontId="0" fillId="0" borderId="0" xfId="0" applyNumberFormat="1"/>
    <xf numFmtId="0" fontId="0" fillId="2" borderId="4" xfId="0" applyFill="1" applyBorder="1"/>
    <xf numFmtId="0" fontId="0" fillId="2" borderId="0" xfId="0" applyFill="1"/>
    <xf numFmtId="0" fontId="9" fillId="2" borderId="4" xfId="0" applyFont="1" applyFill="1" applyBorder="1"/>
    <xf numFmtId="0" fontId="9" fillId="2" borderId="5" xfId="0" applyFont="1" applyFill="1" applyBorder="1"/>
    <xf numFmtId="0" fontId="0" fillId="2" borderId="7" xfId="0" applyFill="1" applyBorder="1"/>
    <xf numFmtId="0" fontId="0" fillId="2" borderId="9" xfId="0" applyFill="1" applyBorder="1"/>
    <xf numFmtId="0" fontId="0" fillId="2" borderId="5" xfId="0" applyFill="1" applyBorder="1"/>
    <xf numFmtId="0" fontId="0" fillId="2" borderId="6" xfId="0" applyFill="1" applyBorder="1"/>
    <xf numFmtId="0" fontId="0" fillId="2" borderId="0" xfId="0" applyFill="1" applyBorder="1"/>
    <xf numFmtId="0" fontId="0" fillId="2" borderId="8" xfId="0" applyFill="1" applyBorder="1"/>
    <xf numFmtId="2" fontId="0" fillId="0" borderId="0" xfId="0" applyNumberFormat="1"/>
    <xf numFmtId="166" fontId="0" fillId="0" borderId="0" xfId="0" applyNumberFormat="1"/>
    <xf numFmtId="165" fontId="9" fillId="0" borderId="5" xfId="0" applyNumberFormat="1" applyFont="1" applyBorder="1"/>
    <xf numFmtId="0" fontId="9" fillId="2" borderId="5" xfId="0" applyFont="1" applyFill="1" applyBorder="1" applyAlignment="1">
      <alignment horizontal="center"/>
    </xf>
    <xf numFmtId="0" fontId="9" fillId="2" borderId="6" xfId="0" applyFont="1"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4" xfId="0" applyFill="1" applyBorder="1" applyAlignment="1">
      <alignment horizontal="center"/>
    </xf>
    <xf numFmtId="0" fontId="0" fillId="2" borderId="12" xfId="0" applyFill="1" applyBorder="1" applyAlignment="1">
      <alignment horizontal="center"/>
    </xf>
    <xf numFmtId="0" fontId="0" fillId="2" borderId="7" xfId="0" applyFill="1" applyBorder="1" applyAlignment="1">
      <alignment horizontal="center"/>
    </xf>
    <xf numFmtId="0" fontId="0" fillId="2" borderId="13" xfId="0" applyFill="1" applyBorder="1" applyAlignment="1">
      <alignment horizontal="center"/>
    </xf>
    <xf numFmtId="0" fontId="0" fillId="2" borderId="9" xfId="0" applyFill="1" applyBorder="1" applyAlignment="1">
      <alignment horizontal="center"/>
    </xf>
    <xf numFmtId="0" fontId="0" fillId="2" borderId="14" xfId="0" applyFill="1" applyBorder="1" applyAlignment="1">
      <alignment horizontal="center"/>
    </xf>
    <xf numFmtId="0" fontId="0" fillId="2" borderId="0" xfId="0" applyFill="1" applyAlignment="1">
      <alignment horizontal="center"/>
    </xf>
    <xf numFmtId="9" fontId="0" fillId="4" borderId="0" xfId="1" applyFont="1" applyFill="1" applyBorder="1"/>
    <xf numFmtId="164" fontId="0" fillId="2" borderId="10" xfId="1" applyNumberFormat="1" applyFont="1" applyFill="1" applyBorder="1"/>
    <xf numFmtId="164" fontId="0" fillId="2" borderId="11" xfId="1" applyNumberFormat="1" applyFont="1" applyFill="1" applyBorder="1"/>
    <xf numFmtId="164" fontId="0" fillId="2" borderId="5" xfId="1" applyNumberFormat="1" applyFont="1" applyFill="1" applyBorder="1"/>
    <xf numFmtId="164" fontId="0" fillId="2" borderId="6" xfId="1" applyNumberFormat="1" applyFont="1" applyFill="1" applyBorder="1"/>
    <xf numFmtId="0" fontId="11" fillId="0" borderId="0" xfId="0" applyFont="1"/>
    <xf numFmtId="0" fontId="13" fillId="3" borderId="7" xfId="0" applyFont="1" applyFill="1" applyBorder="1"/>
    <xf numFmtId="0" fontId="12" fillId="0" borderId="0" xfId="0" applyFont="1"/>
    <xf numFmtId="0" fontId="9" fillId="0" borderId="0" xfId="0" applyFont="1"/>
    <xf numFmtId="0" fontId="0" fillId="0" borderId="0" xfId="0" applyFill="1"/>
    <xf numFmtId="0" fontId="0" fillId="8" borderId="0" xfId="0" applyFill="1"/>
    <xf numFmtId="3" fontId="13" fillId="3" borderId="0" xfId="0" quotePrefix="1" applyNumberFormat="1" applyFont="1" applyFill="1" applyBorder="1"/>
    <xf numFmtId="9" fontId="0" fillId="7" borderId="0" xfId="1" applyFont="1" applyFill="1" applyBorder="1"/>
    <xf numFmtId="9" fontId="0" fillId="7" borderId="10" xfId="1" applyFont="1" applyFill="1" applyBorder="1"/>
    <xf numFmtId="10" fontId="0" fillId="7" borderId="0" xfId="1" applyNumberFormat="1" applyFont="1" applyFill="1" applyBorder="1"/>
    <xf numFmtId="10" fontId="0" fillId="7" borderId="8" xfId="1" applyNumberFormat="1" applyFont="1" applyFill="1" applyBorder="1"/>
    <xf numFmtId="10" fontId="0" fillId="7" borderId="11" xfId="1" applyNumberFormat="1" applyFont="1" applyFill="1" applyBorder="1"/>
    <xf numFmtId="0" fontId="14" fillId="0" borderId="0" xfId="0" applyFont="1"/>
    <xf numFmtId="0" fontId="0" fillId="5" borderId="7" xfId="0" applyFill="1" applyBorder="1"/>
    <xf numFmtId="0" fontId="0" fillId="5" borderId="9" xfId="0" applyFill="1" applyBorder="1"/>
    <xf numFmtId="9" fontId="0" fillId="7" borderId="8" xfId="1" applyFont="1" applyFill="1" applyBorder="1"/>
    <xf numFmtId="10" fontId="0" fillId="9" borderId="8" xfId="1" applyNumberFormat="1" applyFont="1" applyFill="1" applyBorder="1"/>
    <xf numFmtId="0" fontId="0" fillId="5" borderId="0" xfId="0" applyFill="1" applyBorder="1"/>
    <xf numFmtId="0" fontId="4" fillId="8" borderId="0" xfId="0" applyFont="1" applyFill="1"/>
    <xf numFmtId="0" fontId="4" fillId="8" borderId="0" xfId="0" applyFont="1" applyFill="1" applyBorder="1"/>
    <xf numFmtId="0" fontId="7" fillId="8" borderId="0" xfId="0" applyFont="1" applyFill="1"/>
    <xf numFmtId="164" fontId="4" fillId="8" borderId="0" xfId="1" applyNumberFormat="1" applyFont="1" applyFill="1" applyBorder="1" applyAlignment="1">
      <alignment horizontal="center"/>
    </xf>
    <xf numFmtId="0" fontId="4" fillId="8" borderId="1" xfId="0" applyFont="1" applyFill="1" applyBorder="1"/>
    <xf numFmtId="0" fontId="4" fillId="8" borderId="2" xfId="0" applyFont="1" applyFill="1" applyBorder="1"/>
    <xf numFmtId="0" fontId="4" fillId="8" borderId="3" xfId="0" applyFont="1" applyFill="1" applyBorder="1"/>
    <xf numFmtId="0" fontId="4" fillId="8" borderId="0" xfId="0" applyFont="1" applyFill="1" applyAlignment="1">
      <alignment horizontal="center"/>
    </xf>
    <xf numFmtId="164" fontId="4" fillId="8" borderId="7" xfId="1" applyNumberFormat="1" applyFont="1" applyFill="1" applyBorder="1" applyAlignment="1">
      <alignment horizontal="center"/>
    </xf>
    <xf numFmtId="164" fontId="4" fillId="8" borderId="8" xfId="1" applyNumberFormat="1" applyFont="1" applyFill="1" applyBorder="1" applyAlignment="1">
      <alignment horizontal="center"/>
    </xf>
    <xf numFmtId="164" fontId="4" fillId="8" borderId="4" xfId="1" applyNumberFormat="1" applyFont="1" applyFill="1" applyBorder="1" applyAlignment="1">
      <alignment horizontal="center"/>
    </xf>
    <xf numFmtId="164" fontId="4" fillId="8" borderId="5" xfId="1" applyNumberFormat="1" applyFont="1" applyFill="1" applyBorder="1" applyAlignment="1">
      <alignment horizontal="center"/>
    </xf>
    <xf numFmtId="164" fontId="4" fillId="8" borderId="6" xfId="1" applyNumberFormat="1" applyFont="1" applyFill="1" applyBorder="1" applyAlignment="1">
      <alignment horizontal="center"/>
    </xf>
    <xf numFmtId="0" fontId="7" fillId="11" borderId="4" xfId="0" applyFont="1" applyFill="1" applyBorder="1"/>
    <xf numFmtId="164" fontId="7" fillId="11" borderId="6" xfId="1" applyNumberFormat="1" applyFont="1" applyFill="1" applyBorder="1"/>
    <xf numFmtId="0" fontId="7" fillId="11" borderId="9" xfId="0" applyFont="1" applyFill="1" applyBorder="1"/>
    <xf numFmtId="164" fontId="7" fillId="11" borderId="11" xfId="1" applyNumberFormat="1" applyFont="1" applyFill="1" applyBorder="1"/>
    <xf numFmtId="2" fontId="0" fillId="2" borderId="0" xfId="0" applyNumberFormat="1" applyFill="1" applyBorder="1"/>
    <xf numFmtId="164" fontId="0" fillId="2" borderId="0" xfId="1" applyNumberFormat="1" applyFont="1" applyFill="1" applyBorder="1"/>
    <xf numFmtId="164" fontId="0" fillId="2" borderId="8" xfId="1" applyNumberFormat="1" applyFont="1" applyFill="1" applyBorder="1"/>
    <xf numFmtId="2" fontId="0" fillId="2" borderId="10" xfId="0" applyNumberFormat="1" applyFill="1"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8" borderId="4" xfId="0" applyFill="1" applyBorder="1"/>
    <xf numFmtId="9" fontId="0" fillId="8" borderId="9" xfId="1" applyFont="1" applyFill="1" applyBorder="1"/>
    <xf numFmtId="0" fontId="0" fillId="8" borderId="9" xfId="0" applyFill="1" applyBorder="1"/>
    <xf numFmtId="9" fontId="0" fillId="10" borderId="0" xfId="1" applyFont="1" applyFill="1" applyBorder="1"/>
    <xf numFmtId="9" fontId="0" fillId="10" borderId="11" xfId="1" applyFont="1" applyFill="1" applyBorder="1"/>
    <xf numFmtId="164" fontId="0" fillId="10" borderId="8" xfId="1" applyNumberFormat="1" applyFont="1" applyFill="1" applyBorder="1"/>
    <xf numFmtId="164" fontId="7" fillId="11" borderId="5" xfId="1" applyNumberFormat="1" applyFont="1" applyFill="1" applyBorder="1" applyAlignment="1">
      <alignment horizontal="center"/>
    </xf>
    <xf numFmtId="164" fontId="7" fillId="11" borderId="11" xfId="1" applyNumberFormat="1" applyFont="1" applyFill="1" applyBorder="1" applyAlignment="1">
      <alignment horizontal="center"/>
    </xf>
    <xf numFmtId="164" fontId="4" fillId="8" borderId="9" xfId="1" applyNumberFormat="1" applyFont="1" applyFill="1" applyBorder="1" applyAlignment="1">
      <alignment horizontal="center"/>
    </xf>
    <xf numFmtId="164" fontId="4" fillId="8" borderId="10" xfId="1" applyNumberFormat="1" applyFont="1" applyFill="1" applyBorder="1" applyAlignment="1">
      <alignment horizontal="center"/>
    </xf>
    <xf numFmtId="164" fontId="4" fillId="8" borderId="11" xfId="1" applyNumberFormat="1" applyFont="1" applyFill="1" applyBorder="1" applyAlignment="1">
      <alignment horizontal="center"/>
    </xf>
    <xf numFmtId="0" fontId="2" fillId="3" borderId="8" xfId="0" applyFont="1" applyFill="1" applyBorder="1"/>
    <xf numFmtId="0" fontId="2" fillId="3" borderId="7" xfId="0" applyFont="1" applyFill="1" applyBorder="1"/>
    <xf numFmtId="0" fontId="10" fillId="0" borderId="0" xfId="0" applyFont="1" applyFill="1"/>
    <xf numFmtId="0" fontId="0" fillId="0" borderId="0" xfId="0" applyFill="1" applyBorder="1" applyAlignment="1">
      <alignment vertical="center" wrapText="1"/>
    </xf>
    <xf numFmtId="0" fontId="0" fillId="0" borderId="16" xfId="0" applyFill="1" applyBorder="1" applyAlignment="1">
      <alignment vertical="center"/>
    </xf>
    <xf numFmtId="0" fontId="0" fillId="3" borderId="13" xfId="0" applyFill="1" applyBorder="1"/>
    <xf numFmtId="0" fontId="0" fillId="3" borderId="14" xfId="0" applyFill="1" applyBorder="1"/>
    <xf numFmtId="0" fontId="7" fillId="6" borderId="15" xfId="0" applyFont="1" applyFill="1" applyBorder="1"/>
    <xf numFmtId="0" fontId="13" fillId="3" borderId="1" xfId="0" applyFont="1" applyFill="1" applyBorder="1"/>
    <xf numFmtId="0" fontId="13" fillId="3" borderId="2" xfId="0" applyFont="1" applyFill="1" applyBorder="1"/>
    <xf numFmtId="0" fontId="0" fillId="3" borderId="3" xfId="0" applyFill="1" applyBorder="1"/>
    <xf numFmtId="0" fontId="11" fillId="3" borderId="13" xfId="0" applyFont="1" applyFill="1" applyBorder="1"/>
    <xf numFmtId="0" fontId="11" fillId="3" borderId="15" xfId="0" applyFont="1" applyFill="1" applyBorder="1"/>
    <xf numFmtId="0" fontId="11" fillId="0" borderId="0" xfId="0" applyFont="1" applyFill="1" applyBorder="1"/>
    <xf numFmtId="164" fontId="12" fillId="0" borderId="0" xfId="1" applyNumberFormat="1" applyFont="1" applyFill="1" applyBorder="1"/>
    <xf numFmtId="166" fontId="0" fillId="3" borderId="14" xfId="0" applyNumberFormat="1" applyFill="1" applyBorder="1"/>
    <xf numFmtId="166" fontId="0" fillId="3" borderId="13" xfId="0" applyNumberFormat="1" applyFill="1" applyBorder="1"/>
    <xf numFmtId="0" fontId="2" fillId="3" borderId="2" xfId="0" applyFont="1" applyFill="1" applyBorder="1"/>
    <xf numFmtId="0" fontId="2" fillId="3" borderId="6" xfId="0" applyFont="1" applyFill="1" applyBorder="1"/>
    <xf numFmtId="0" fontId="2" fillId="0" borderId="15" xfId="0" applyFont="1" applyBorder="1"/>
    <xf numFmtId="0" fontId="15" fillId="0" borderId="0" xfId="0" applyFont="1"/>
    <xf numFmtId="0" fontId="4" fillId="0" borderId="0" xfId="0" applyFont="1" applyFill="1"/>
    <xf numFmtId="0" fontId="7" fillId="0" borderId="0" xfId="0" applyFont="1" applyFill="1"/>
    <xf numFmtId="0" fontId="4" fillId="0" borderId="0" xfId="0" applyFont="1" applyFill="1" applyBorder="1"/>
    <xf numFmtId="0" fontId="15" fillId="0" borderId="0" xfId="0" applyFont="1" applyFill="1"/>
    <xf numFmtId="0" fontId="5" fillId="0" borderId="17" xfId="0" applyFont="1" applyFill="1" applyBorder="1"/>
    <xf numFmtId="0" fontId="0" fillId="7" borderId="9" xfId="0" applyFill="1" applyBorder="1" applyAlignment="1">
      <alignment vertical="top" wrapText="1"/>
    </xf>
    <xf numFmtId="0" fontId="5" fillId="8" borderId="18" xfId="0" applyFont="1" applyFill="1" applyBorder="1"/>
    <xf numFmtId="0" fontId="10" fillId="8" borderId="0" xfId="0" applyFont="1" applyFill="1"/>
    <xf numFmtId="0" fontId="13" fillId="8" borderId="12" xfId="0" applyFont="1" applyFill="1" applyBorder="1"/>
    <xf numFmtId="0" fontId="0" fillId="8" borderId="12" xfId="0" applyFill="1" applyBorder="1" applyAlignment="1">
      <alignment wrapText="1"/>
    </xf>
    <xf numFmtId="0" fontId="0" fillId="8" borderId="7" xfId="0" applyFill="1" applyBorder="1" applyAlignment="1">
      <alignment vertical="top" wrapText="1"/>
    </xf>
    <xf numFmtId="0" fontId="0" fillId="8" borderId="9" xfId="0" applyFill="1" applyBorder="1" applyAlignment="1">
      <alignment vertical="top" wrapText="1"/>
    </xf>
    <xf numFmtId="0" fontId="0" fillId="8" borderId="0" xfId="0" applyFill="1" applyBorder="1" applyAlignment="1">
      <alignment vertical="top" wrapText="1"/>
    </xf>
    <xf numFmtId="0" fontId="0" fillId="8" borderId="0" xfId="0" applyFill="1" applyBorder="1" applyAlignment="1">
      <alignment vertical="center"/>
    </xf>
    <xf numFmtId="0" fontId="0" fillId="8" borderId="0" xfId="0" applyFill="1" applyBorder="1" applyAlignment="1">
      <alignment vertical="center" wrapText="1"/>
    </xf>
    <xf numFmtId="0" fontId="2" fillId="8" borderId="0" xfId="0" applyFont="1" applyFill="1" applyBorder="1" applyAlignment="1">
      <alignment vertical="center" wrapText="1"/>
    </xf>
    <xf numFmtId="0" fontId="0" fillId="8" borderId="0" xfId="0" applyFill="1" applyBorder="1" applyAlignment="1">
      <alignment wrapText="1"/>
    </xf>
    <xf numFmtId="0" fontId="11" fillId="7" borderId="12" xfId="0" applyFont="1" applyFill="1" applyBorder="1" applyAlignment="1">
      <alignment vertical="top" wrapText="1"/>
    </xf>
    <xf numFmtId="0" fontId="11" fillId="7" borderId="7" xfId="0" applyFont="1" applyFill="1" applyBorder="1" applyAlignment="1">
      <alignment vertical="top" wrapText="1"/>
    </xf>
    <xf numFmtId="0" fontId="11" fillId="3" borderId="14" xfId="0" applyFont="1" applyFill="1" applyBorder="1" applyAlignment="1">
      <alignment wrapText="1"/>
    </xf>
    <xf numFmtId="0" fontId="11" fillId="3" borderId="12" xfId="0" applyFont="1" applyFill="1" applyBorder="1" applyAlignment="1">
      <alignment vertical="center" wrapText="1"/>
    </xf>
    <xf numFmtId="0" fontId="11" fillId="3" borderId="13" xfId="0" applyFont="1" applyFill="1" applyBorder="1" applyAlignment="1">
      <alignment vertical="center" wrapText="1"/>
    </xf>
    <xf numFmtId="0" fontId="4" fillId="12" borderId="0" xfId="0" applyFont="1" applyFill="1" applyAlignment="1">
      <alignment horizontal="center"/>
    </xf>
    <xf numFmtId="0" fontId="7" fillId="12" borderId="0" xfId="0" applyFont="1" applyFill="1"/>
    <xf numFmtId="0" fontId="11" fillId="10" borderId="12" xfId="0" applyFont="1" applyFill="1" applyBorder="1" applyAlignment="1">
      <alignment vertical="center" wrapText="1"/>
    </xf>
    <xf numFmtId="0" fontId="11" fillId="10" borderId="13" xfId="0" applyFont="1" applyFill="1" applyBorder="1" applyAlignment="1">
      <alignment vertical="center" wrapText="1"/>
    </xf>
    <xf numFmtId="0" fontId="13" fillId="10" borderId="14" xfId="0" applyFont="1" applyFill="1" applyBorder="1" applyAlignment="1">
      <alignment vertical="center" wrapText="1"/>
    </xf>
    <xf numFmtId="0" fontId="20" fillId="10" borderId="15" xfId="0" applyFont="1" applyFill="1" applyBorder="1" applyAlignment="1">
      <alignment vertical="center"/>
    </xf>
    <xf numFmtId="0" fontId="2" fillId="3" borderId="15" xfId="0" applyFont="1" applyFill="1" applyBorder="1"/>
    <xf numFmtId="0" fontId="0" fillId="3" borderId="13" xfId="0" applyFont="1" applyFill="1" applyBorder="1"/>
    <xf numFmtId="164" fontId="0" fillId="8" borderId="15" xfId="1" applyNumberFormat="1" applyFont="1" applyFill="1" applyBorder="1" applyAlignment="1">
      <alignment horizontal="center"/>
    </xf>
    <xf numFmtId="1" fontId="0" fillId="12" borderId="15" xfId="0" applyNumberFormat="1" applyFill="1" applyBorder="1" applyAlignment="1">
      <alignment horizontal="center"/>
    </xf>
    <xf numFmtId="0" fontId="0" fillId="12" borderId="15" xfId="0" applyFill="1" applyBorder="1" applyAlignment="1">
      <alignment horizontal="center"/>
    </xf>
    <xf numFmtId="0" fontId="0" fillId="8" borderId="15" xfId="0" applyFill="1" applyBorder="1" applyAlignment="1">
      <alignment horizontal="center"/>
    </xf>
    <xf numFmtId="0" fontId="2" fillId="3" borderId="15" xfId="0" applyFont="1" applyFill="1" applyBorder="1" applyAlignment="1">
      <alignment horizontal="center"/>
    </xf>
    <xf numFmtId="10" fontId="19" fillId="3" borderId="15" xfId="1" applyNumberFormat="1" applyFont="1" applyFill="1" applyBorder="1" applyAlignment="1">
      <alignment horizontal="center"/>
    </xf>
    <xf numFmtId="10" fontId="4" fillId="3" borderId="15" xfId="1" applyNumberFormat="1" applyFont="1" applyFill="1" applyBorder="1" applyAlignment="1">
      <alignment horizontal="center"/>
    </xf>
    <xf numFmtId="0" fontId="7" fillId="0" borderId="15" xfId="0" applyFont="1" applyBorder="1" applyAlignment="1">
      <alignment horizontal="center"/>
    </xf>
    <xf numFmtId="0" fontId="21" fillId="0" borderId="0" xfId="0" applyFont="1"/>
    <xf numFmtId="0" fontId="19" fillId="8" borderId="0" xfId="0" applyFont="1" applyFill="1"/>
    <xf numFmtId="0" fontId="20" fillId="7" borderId="15" xfId="0" applyFont="1" applyFill="1" applyBorder="1" applyAlignment="1">
      <alignment vertical="center"/>
    </xf>
    <xf numFmtId="0" fontId="20" fillId="3" borderId="12" xfId="0" applyFont="1" applyFill="1" applyBorder="1" applyAlignment="1">
      <alignment vertical="center" wrapText="1"/>
    </xf>
    <xf numFmtId="3" fontId="11" fillId="0" borderId="0" xfId="0" quotePrefix="1" applyNumberFormat="1" applyFont="1" applyFill="1" applyBorder="1"/>
    <xf numFmtId="0" fontId="0" fillId="3" borderId="15" xfId="0" applyFill="1" applyBorder="1"/>
    <xf numFmtId="0" fontId="13" fillId="3" borderId="15" xfId="0" applyFont="1" applyFill="1" applyBorder="1"/>
    <xf numFmtId="3" fontId="11" fillId="3" borderId="8" xfId="0" quotePrefix="1" applyNumberFormat="1" applyFont="1"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4" fontId="0" fillId="3" borderId="8" xfId="1" applyNumberFormat="1" applyFont="1" applyFill="1" applyBorder="1" applyAlignment="1">
      <alignment horizontal="center"/>
    </xf>
    <xf numFmtId="3" fontId="11" fillId="3" borderId="3" xfId="0" quotePrefix="1" applyNumberFormat="1" applyFont="1" applyFill="1" applyBorder="1" applyAlignment="1">
      <alignment horizontal="center"/>
    </xf>
    <xf numFmtId="164" fontId="0" fillId="3" borderId="3" xfId="1" applyNumberFormat="1" applyFont="1" applyFill="1" applyBorder="1" applyAlignment="1">
      <alignment horizontal="center"/>
    </xf>
    <xf numFmtId="0" fontId="13" fillId="3" borderId="15" xfId="0" applyFont="1" applyFill="1" applyBorder="1" applyAlignment="1">
      <alignment horizontal="center"/>
    </xf>
    <xf numFmtId="0" fontId="0" fillId="3" borderId="15" xfId="0" applyFill="1" applyBorder="1" applyAlignment="1">
      <alignment horizontal="center"/>
    </xf>
    <xf numFmtId="0" fontId="11" fillId="12" borderId="12" xfId="0" applyFont="1" applyFill="1" applyBorder="1" applyAlignment="1">
      <alignment horizontal="center"/>
    </xf>
    <xf numFmtId="0" fontId="11" fillId="12" borderId="13" xfId="0" applyFont="1" applyFill="1" applyBorder="1" applyAlignment="1">
      <alignment horizontal="center"/>
    </xf>
    <xf numFmtId="0" fontId="11" fillId="12" borderId="14" xfId="0" applyFont="1" applyFill="1" applyBorder="1" applyAlignment="1">
      <alignment horizontal="center"/>
    </xf>
    <xf numFmtId="10" fontId="0" fillId="3" borderId="8" xfId="1" applyNumberFormat="1" applyFont="1" applyFill="1" applyBorder="1" applyAlignment="1">
      <alignment horizontal="center"/>
    </xf>
    <xf numFmtId="10" fontId="0" fillId="3" borderId="11" xfId="1" applyNumberFormat="1" applyFont="1" applyFill="1" applyBorder="1" applyAlignment="1">
      <alignment horizontal="center"/>
    </xf>
    <xf numFmtId="0" fontId="22" fillId="0" borderId="0" xfId="0" applyFont="1"/>
    <xf numFmtId="0" fontId="13" fillId="12" borderId="15" xfId="0" applyFont="1" applyFill="1" applyBorder="1" applyAlignment="1">
      <alignment horizontal="center"/>
    </xf>
    <xf numFmtId="3" fontId="13" fillId="3" borderId="15" xfId="0" quotePrefix="1" applyNumberFormat="1" applyFont="1" applyFill="1" applyBorder="1"/>
    <xf numFmtId="0" fontId="23" fillId="8" borderId="0" xfId="0" applyFont="1" applyFill="1"/>
    <xf numFmtId="0" fontId="23" fillId="8" borderId="4" xfId="0" applyFont="1" applyFill="1" applyBorder="1"/>
    <xf numFmtId="0" fontId="23" fillId="8" borderId="5" xfId="0" applyFont="1" applyFill="1" applyBorder="1"/>
    <xf numFmtId="0" fontId="23" fillId="8" borderId="6" xfId="0" applyFont="1" applyFill="1" applyBorder="1"/>
    <xf numFmtId="0" fontId="23" fillId="8" borderId="7" xfId="0" applyFont="1" applyFill="1" applyBorder="1"/>
    <xf numFmtId="0" fontId="23" fillId="8" borderId="0" xfId="0" applyFont="1" applyFill="1" applyBorder="1"/>
    <xf numFmtId="0" fontId="23" fillId="8" borderId="8" xfId="0" applyFont="1" applyFill="1" applyBorder="1"/>
    <xf numFmtId="0" fontId="23" fillId="8" borderId="9" xfId="0" applyFont="1" applyFill="1" applyBorder="1"/>
    <xf numFmtId="0" fontId="23" fillId="8" borderId="10" xfId="0" applyFont="1" applyFill="1" applyBorder="1"/>
    <xf numFmtId="0" fontId="23" fillId="8" borderId="11" xfId="0" applyFont="1" applyFill="1" applyBorder="1"/>
  </cellXfs>
  <cellStyles count="2">
    <cellStyle name="Normal" xfId="0" builtinId="0"/>
    <cellStyle name="Pourcentag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Lines="5" dropStyle="combo" dx="16" fmlaLink="Introduction!$H$7" fmlaRange="'Formules et données'!$B$31:$B$35" noThreeD="1" sel="1" val="0"/>
</file>

<file path=xl/ctrlProps/ctrlProp10.xml><?xml version="1.0" encoding="utf-8"?>
<formControlPr xmlns="http://schemas.microsoft.com/office/spreadsheetml/2009/9/main" objectType="Drop" dropLines="6" dropStyle="combo" dx="16" fmlaLink="Introduction!$L$10" fmlaRange="'Formules et données'!$H$30:$H$35" noThreeD="1" sel="5" val="0"/>
</file>

<file path=xl/ctrlProps/ctrlProp2.xml><?xml version="1.0" encoding="utf-8"?>
<formControlPr xmlns="http://schemas.microsoft.com/office/spreadsheetml/2009/9/main" objectType="Drop" dropLines="6" dropStyle="combo" dx="16" fmlaLink="Introduction!$J$7" fmlaRange="'Formules et données'!$B$30:$B$35" noThreeD="1" sel="4" val="0"/>
</file>

<file path=xl/ctrlProps/ctrlProp3.xml><?xml version="1.0" encoding="utf-8"?>
<formControlPr xmlns="http://schemas.microsoft.com/office/spreadsheetml/2009/9/main" objectType="Drop" dropLines="5" dropStyle="combo" dx="16" fmlaLink="Introduction!$H$9" fmlaRange="'Formules et données'!$E$31:$E$35" noThreeD="1" sel="1" val="0"/>
</file>

<file path=xl/ctrlProps/ctrlProp4.xml><?xml version="1.0" encoding="utf-8"?>
<formControlPr xmlns="http://schemas.microsoft.com/office/spreadsheetml/2009/9/main" objectType="Drop" dropLines="6" dropStyle="combo" dx="16" fmlaLink="Introduction!$J$9" fmlaRange="'Formules et données'!$E$30:$E$35" noThreeD="1" sel="4" val="0"/>
</file>

<file path=xl/ctrlProps/ctrlProp5.xml><?xml version="1.0" encoding="utf-8"?>
<formControlPr xmlns="http://schemas.microsoft.com/office/spreadsheetml/2009/9/main" objectType="Drop" dropLines="5" dropStyle="combo" dx="16" fmlaLink="Introduction!$H$10" fmlaRange="'Formules et données'!$H$31:$H$35" noThreeD="1" sel="2" val="0"/>
</file>

<file path=xl/ctrlProps/ctrlProp6.xml><?xml version="1.0" encoding="utf-8"?>
<formControlPr xmlns="http://schemas.microsoft.com/office/spreadsheetml/2009/9/main" objectType="Drop" dropStyle="combo" dx="16" fmlaLink="Introduction!$J$10" fmlaRange="'Formules et données'!$H$30:$H$35" noThreeD="1" sel="4" val="0"/>
</file>

<file path=xl/ctrlProps/ctrlProp7.xml><?xml version="1.0" encoding="utf-8"?>
<formControlPr xmlns="http://schemas.microsoft.com/office/spreadsheetml/2009/9/main" objectType="Drop" dropLines="2" dropStyle="combo" dx="16" fmlaLink="Introduction!$I$5" fmlaRange="Introduction!$G$4:$G$5" noThreeD="1" sel="1" val="0"/>
</file>

<file path=xl/ctrlProps/ctrlProp8.xml><?xml version="1.0" encoding="utf-8"?>
<formControlPr xmlns="http://schemas.microsoft.com/office/spreadsheetml/2009/9/main" objectType="Drop" dropLines="6" dropStyle="combo" dx="16" fmlaLink="Introduction!$L$7" fmlaRange="'Formules et données'!$B$30:$B$35" noThreeD="1" sel="3" val="0"/>
</file>

<file path=xl/ctrlProps/ctrlProp9.xml><?xml version="1.0" encoding="utf-8"?>
<formControlPr xmlns="http://schemas.microsoft.com/office/spreadsheetml/2009/9/main" objectType="Drop" dropLines="6" dropStyle="combo" dx="16" fmlaLink="Introduction!$L$9" fmlaRange="'Formules et données'!$E$30:$E$35" noThreeD="1" sel="5" val="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200025</xdr:rowOff>
        </xdr:from>
        <xdr:to>
          <xdr:col>1</xdr:col>
          <xdr:colOff>1343025</xdr:colOff>
          <xdr:row>14</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209550</xdr:rowOff>
        </xdr:from>
        <xdr:to>
          <xdr:col>3</xdr:col>
          <xdr:colOff>19050</xdr:colOff>
          <xdr:row>14</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1352550</xdr:colOff>
          <xdr:row>19</xdr:row>
          <xdr:rowOff>19050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3</xdr:col>
          <xdr:colOff>38100</xdr:colOff>
          <xdr:row>19</xdr:row>
          <xdr:rowOff>19050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1</xdr:col>
          <xdr:colOff>1343025</xdr:colOff>
          <xdr:row>24</xdr:row>
          <xdr:rowOff>28575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9525</xdr:rowOff>
        </xdr:from>
        <xdr:to>
          <xdr:col>3</xdr:col>
          <xdr:colOff>38100</xdr:colOff>
          <xdr:row>24</xdr:row>
          <xdr:rowOff>19050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xdr:row>
          <xdr:rowOff>200025</xdr:rowOff>
        </xdr:from>
        <xdr:to>
          <xdr:col>3</xdr:col>
          <xdr:colOff>695325</xdr:colOff>
          <xdr:row>6</xdr:row>
          <xdr:rowOff>57150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209550</xdr:rowOff>
        </xdr:from>
        <xdr:to>
          <xdr:col>4</xdr:col>
          <xdr:colOff>0</xdr:colOff>
          <xdr:row>13</xdr:row>
          <xdr:rowOff>219075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1390650</xdr:colOff>
          <xdr:row>19</xdr:row>
          <xdr:rowOff>9525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9525</xdr:rowOff>
        </xdr:from>
        <xdr:to>
          <xdr:col>3</xdr:col>
          <xdr:colOff>1390650</xdr:colOff>
          <xdr:row>24</xdr:row>
          <xdr:rowOff>19050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18</xdr:col>
      <xdr:colOff>9525</xdr:colOff>
      <xdr:row>17</xdr:row>
      <xdr:rowOff>9525</xdr:rowOff>
    </xdr:from>
    <xdr:ext cx="2757764" cy="419100"/>
    <xdr:pic>
      <xdr:nvPicPr>
        <xdr:cNvPr id="7" name="Imatge 2">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1171575" y="2676525"/>
          <a:ext cx="2757764" cy="419100"/>
        </a:xfrm>
        <a:prstGeom prst="rect">
          <a:avLst/>
        </a:prstGeom>
      </xdr:spPr>
    </xdr:pic>
    <xdr:clientData/>
  </xdr:oneCellAnchor>
  <xdr:twoCellAnchor>
    <xdr:from>
      <xdr:col>17</xdr:col>
      <xdr:colOff>457199</xdr:colOff>
      <xdr:row>6</xdr:row>
      <xdr:rowOff>161925</xdr:rowOff>
    </xdr:from>
    <xdr:to>
      <xdr:col>23</xdr:col>
      <xdr:colOff>360654</xdr:colOff>
      <xdr:row>10</xdr:row>
      <xdr:rowOff>0</xdr:rowOff>
    </xdr:to>
    <mc:AlternateContent xmlns:mc="http://schemas.openxmlformats.org/markup-compatibility/2006" xmlns:a14="http://schemas.microsoft.com/office/drawing/2010/main">
      <mc:Choice Requires="a14">
        <xdr:sp macro="" textlink="">
          <xdr:nvSpPr>
            <xdr:cNvPr id="2" name="Object 3">
              <a:extLst>
                <a:ext uri="{63B3BB69-23CF-44E3-9099-C40C66FF867C}">
                  <a14:compatExt spid="_x0000_s2051"/>
                </a:ext>
                <a:ext uri="{FF2B5EF4-FFF2-40B4-BE49-F238E27FC236}">
                  <a16:creationId xmlns:a16="http://schemas.microsoft.com/office/drawing/2014/main" id="{00000000-0008-0000-0400-000002000000}"/>
                </a:ext>
              </a:extLst>
            </xdr:cNvPr>
            <xdr:cNvSpPr txBox="1"/>
          </xdr:nvSpPr>
          <xdr:spPr>
            <a:xfrm>
              <a:off x="12658724" y="2066925"/>
              <a:ext cx="3389605" cy="1171575"/>
            </a:xfrm>
            <a:prstGeom prst="rect">
              <a:avLst/>
            </a:prstGeom>
          </xdr:spPr>
          <xdr:txBody>
            <a:bodyPr vertOverflow="clip" horzOverflow="clip" wrap="none">
              <a:spAutoFit/>
            </a:bodyPr>
            <a:lstStyle/>
            <a:p>
              <a:pPr/>
              <a14:m>
                <m:oMathPara xmlns:m="http://schemas.openxmlformats.org/officeDocument/2006/math">
                  <m:oMathParaPr>
                    <m:jc m:val="left"/>
                  </m:oMathParaPr>
                  <m:oMath xmlns:m="http://schemas.openxmlformats.org/officeDocument/2006/math">
                    <m:r>
                      <a:rPr lang="ca-ES" i="1">
                        <a:solidFill>
                          <a:srgbClr val="000000"/>
                        </a:solidFill>
                        <a:latin typeface="Cambria Math" panose="02040503050406030204" pitchFamily="18" charset="0"/>
                      </a:rPr>
                      <m:t>𝑛</m:t>
                    </m:r>
                    <m:r>
                      <a:rPr lang="ca-ES" i="1">
                        <a:solidFill>
                          <a:srgbClr val="000000"/>
                        </a:solidFill>
                        <a:latin typeface="Cambria Math" panose="02040503050406030204" pitchFamily="18" charset="0"/>
                      </a:rPr>
                      <m:t>=</m:t>
                    </m:r>
                    <m:f>
                      <m:fPr>
                        <m:ctrlPr>
                          <a:rPr lang="ca-ES" i="1">
                            <a:solidFill>
                              <a:srgbClr val="000000"/>
                            </a:solidFill>
                            <a:latin typeface="Cambria Math" panose="02040503050406030204" pitchFamily="18" charset="0"/>
                          </a:rPr>
                        </m:ctrlPr>
                      </m:fPr>
                      <m:num>
                        <m:sSup>
                          <m:sSupPr>
                            <m:ctrlPr>
                              <a:rPr lang="ca-ES" i="1">
                                <a:solidFill>
                                  <a:srgbClr val="000000"/>
                                </a:solidFill>
                                <a:latin typeface="Cambria Math" panose="02040503050406030204" pitchFamily="18" charset="0"/>
                              </a:rPr>
                            </m:ctrlPr>
                          </m:sSupPr>
                          <m:e>
                            <m:d>
                              <m:dPr>
                                <m:ctrlPr>
                                  <a:rPr lang="ca-ES" i="1">
                                    <a:solidFill>
                                      <a:srgbClr val="000000"/>
                                    </a:solidFill>
                                    <a:latin typeface="Cambria Math" panose="02040503050406030204" pitchFamily="18" charset="0"/>
                                  </a:rPr>
                                </m:ctrlPr>
                              </m:dPr>
                              <m:e>
                                <m:r>
                                  <a:rPr lang="ca-ES" i="1">
                                    <a:solidFill>
                                      <a:srgbClr val="000000"/>
                                    </a:solidFill>
                                    <a:latin typeface="Cambria Math" panose="02040503050406030204" pitchFamily="18" charset="0"/>
                                  </a:rPr>
                                  <m:t>1−(1−</m:t>
                                </m:r>
                                <m:r>
                                  <a:rPr lang="ca-ES" i="1">
                                    <a:solidFill>
                                      <a:srgbClr val="000000"/>
                                    </a:solidFill>
                                    <a:latin typeface="Cambria Math" panose="02040503050406030204" pitchFamily="18" charset="0"/>
                                  </a:rPr>
                                  <m:t>𝐴</m:t>
                                </m:r>
                              </m:e>
                            </m:d>
                          </m:e>
                          <m:sup>
                            <m:f>
                              <m:fPr>
                                <m:ctrlPr>
                                  <a:rPr lang="ca-ES" i="1">
                                    <a:solidFill>
                                      <a:srgbClr val="000000"/>
                                    </a:solidFill>
                                    <a:latin typeface="Cambria Math" panose="02040503050406030204" pitchFamily="18" charset="0"/>
                                  </a:rPr>
                                </m:ctrlPr>
                              </m:fPr>
                              <m:num>
                                <m:r>
                                  <a:rPr lang="ca-ES" i="1">
                                    <a:solidFill>
                                      <a:srgbClr val="000000"/>
                                    </a:solidFill>
                                    <a:latin typeface="Cambria Math" panose="02040503050406030204" pitchFamily="18" charset="0"/>
                                  </a:rPr>
                                  <m:t>1</m:t>
                                </m:r>
                              </m:num>
                              <m:den>
                                <m:r>
                                  <a:rPr lang="ca-ES" i="1">
                                    <a:solidFill>
                                      <a:srgbClr val="000000"/>
                                    </a:solidFill>
                                    <a:latin typeface="Cambria Math" panose="02040503050406030204" pitchFamily="18" charset="0"/>
                                  </a:rPr>
                                  <m:t>𝑁</m:t>
                                </m:r>
                                <m:r>
                                  <a:rPr lang="ca-ES" i="1">
                                    <a:solidFill>
                                      <a:srgbClr val="000000"/>
                                    </a:solidFill>
                                    <a:latin typeface="Cambria Math" panose="02040503050406030204" pitchFamily="18" charset="0"/>
                                  </a:rPr>
                                  <m:t>×</m:t>
                                </m:r>
                                <m:r>
                                  <a:rPr lang="ca-ES" i="1">
                                    <a:solidFill>
                                      <a:srgbClr val="000000"/>
                                    </a:solidFill>
                                    <a:latin typeface="Cambria Math" panose="02040503050406030204" pitchFamily="18" charset="0"/>
                                  </a:rPr>
                                  <m:t>𝑝</m:t>
                                </m:r>
                              </m:den>
                            </m:f>
                          </m:sup>
                        </m:sSup>
                        <m:r>
                          <a:rPr lang="ca-ES" i="1">
                            <a:solidFill>
                              <a:srgbClr val="000000"/>
                            </a:solidFill>
                            <a:latin typeface="Cambria Math" panose="02040503050406030204" pitchFamily="18" charset="0"/>
                          </a:rPr>
                          <m:t>)×</m:t>
                        </m:r>
                        <m:d>
                          <m:dPr>
                            <m:ctrlPr>
                              <a:rPr lang="ca-ES" i="1">
                                <a:solidFill>
                                  <a:srgbClr val="000000"/>
                                </a:solidFill>
                                <a:latin typeface="Cambria Math" panose="02040503050406030204" pitchFamily="18" charset="0"/>
                              </a:rPr>
                            </m:ctrlPr>
                          </m:dPr>
                          <m:e>
                            <m:r>
                              <a:rPr lang="ca-ES" i="1">
                                <a:solidFill>
                                  <a:srgbClr val="000000"/>
                                </a:solidFill>
                                <a:latin typeface="Cambria Math" panose="02040503050406030204" pitchFamily="18" charset="0"/>
                              </a:rPr>
                              <m:t>𝑁</m:t>
                            </m:r>
                            <m:r>
                              <a:rPr lang="ca-ES" i="1">
                                <a:solidFill>
                                  <a:srgbClr val="000000"/>
                                </a:solidFill>
                                <a:latin typeface="Cambria Math" panose="02040503050406030204" pitchFamily="18" charset="0"/>
                              </a:rPr>
                              <m:t>−0,5(</m:t>
                            </m:r>
                            <m:r>
                              <a:rPr lang="ca-ES" i="1">
                                <a:solidFill>
                                  <a:srgbClr val="000000"/>
                                </a:solidFill>
                                <a:latin typeface="Cambria Math" panose="02040503050406030204" pitchFamily="18" charset="0"/>
                              </a:rPr>
                              <m:t>𝑆</m:t>
                            </m:r>
                            <m:sSub>
                              <m:sSubPr>
                                <m:ctrlPr>
                                  <a:rPr lang="ca-ES" i="1">
                                    <a:solidFill>
                                      <a:srgbClr val="000000"/>
                                    </a:solidFill>
                                    <a:latin typeface="Cambria Math" panose="02040503050406030204" pitchFamily="18" charset="0"/>
                                  </a:rPr>
                                </m:ctrlPr>
                              </m:sSubPr>
                              <m:e>
                                <m:r>
                                  <a:rPr lang="ca-ES" i="1">
                                    <a:solidFill>
                                      <a:srgbClr val="000000"/>
                                    </a:solidFill>
                                    <a:latin typeface="Cambria Math" panose="02040503050406030204" pitchFamily="18" charset="0"/>
                                  </a:rPr>
                                  <m:t>𝑒</m:t>
                                </m:r>
                              </m:e>
                              <m:sub>
                                <m:r>
                                  <a:rPr lang="ca-ES" i="1">
                                    <a:solidFill>
                                      <a:srgbClr val="000000"/>
                                    </a:solidFill>
                                    <a:latin typeface="Cambria Math" panose="02040503050406030204" pitchFamily="18" charset="0"/>
                                  </a:rPr>
                                  <m:t>𝑔</m:t>
                                </m:r>
                              </m:sub>
                            </m:sSub>
                            <m:r>
                              <a:rPr lang="ca-ES" i="1">
                                <a:solidFill>
                                  <a:srgbClr val="000000"/>
                                </a:solidFill>
                                <a:latin typeface="Cambria Math" panose="02040503050406030204" pitchFamily="18" charset="0"/>
                              </a:rPr>
                              <m:t>×</m:t>
                            </m:r>
                            <m:r>
                              <a:rPr lang="ca-ES" i="1">
                                <a:solidFill>
                                  <a:srgbClr val="000000"/>
                                </a:solidFill>
                                <a:latin typeface="Cambria Math" panose="02040503050406030204" pitchFamily="18" charset="0"/>
                              </a:rPr>
                              <m:t>𝑁</m:t>
                            </m:r>
                            <m:r>
                              <a:rPr lang="ca-ES" i="1">
                                <a:solidFill>
                                  <a:srgbClr val="000000"/>
                                </a:solidFill>
                                <a:latin typeface="Cambria Math" panose="02040503050406030204" pitchFamily="18" charset="0"/>
                              </a:rPr>
                              <m:t>×</m:t>
                            </m:r>
                            <m:r>
                              <a:rPr lang="ca-ES" i="1">
                                <a:solidFill>
                                  <a:srgbClr val="000000"/>
                                </a:solidFill>
                                <a:latin typeface="Cambria Math" panose="02040503050406030204" pitchFamily="18" charset="0"/>
                              </a:rPr>
                              <m:t>𝑝</m:t>
                            </m:r>
                            <m:r>
                              <a:rPr lang="ca-ES" i="1">
                                <a:solidFill>
                                  <a:srgbClr val="000000"/>
                                </a:solidFill>
                                <a:latin typeface="Cambria Math" panose="02040503050406030204" pitchFamily="18" charset="0"/>
                              </a:rPr>
                              <m:t>−1)</m:t>
                            </m:r>
                          </m:e>
                        </m:d>
                      </m:num>
                      <m:den>
                        <m:r>
                          <a:rPr lang="ca-ES" i="1">
                            <a:solidFill>
                              <a:srgbClr val="000000"/>
                            </a:solidFill>
                            <a:latin typeface="Cambria Math" panose="02040503050406030204" pitchFamily="18" charset="0"/>
                          </a:rPr>
                          <m:t>𝑆</m:t>
                        </m:r>
                        <m:sSub>
                          <m:sSubPr>
                            <m:ctrlPr>
                              <a:rPr lang="ca-ES" i="1">
                                <a:solidFill>
                                  <a:srgbClr val="000000"/>
                                </a:solidFill>
                                <a:latin typeface="Cambria Math" panose="02040503050406030204" pitchFamily="18" charset="0"/>
                              </a:rPr>
                            </m:ctrlPr>
                          </m:sSubPr>
                          <m:e>
                            <m:r>
                              <a:rPr lang="ca-ES" i="1">
                                <a:solidFill>
                                  <a:srgbClr val="000000"/>
                                </a:solidFill>
                                <a:latin typeface="Cambria Math" panose="02040503050406030204" pitchFamily="18" charset="0"/>
                              </a:rPr>
                              <m:t>𝑒</m:t>
                            </m:r>
                          </m:e>
                          <m:sub>
                            <m:r>
                              <a:rPr lang="ca-ES" i="1">
                                <a:solidFill>
                                  <a:srgbClr val="000000"/>
                                </a:solidFill>
                                <a:latin typeface="Cambria Math" panose="02040503050406030204" pitchFamily="18" charset="0"/>
                              </a:rPr>
                              <m:t>𝑔</m:t>
                            </m:r>
                          </m:sub>
                        </m:sSub>
                      </m:den>
                    </m:f>
                  </m:oMath>
                </m:oMathPara>
              </a14:m>
              <a:endParaRPr lang="ca-ES"/>
            </a:p>
          </xdr:txBody>
        </xdr:sp>
      </mc:Choice>
      <mc:Fallback xmlns="">
        <xdr:sp macro="" textlink="">
          <xdr:nvSpPr>
            <xdr:cNvPr id="2" name="Object 3">
              <a:extLst>
                <a:ext uri="{63B3BB69-23CF-44E3-9099-C40C66FF867C}">
                  <a14:compatExt xmlns:a14="http://schemas.microsoft.com/office/drawing/2010/main" spid="_x0000_s2051"/>
                </a:ext>
                <a:ext uri="{FF2B5EF4-FFF2-40B4-BE49-F238E27FC236}">
                  <a16:creationId xmlns:a16="http://schemas.microsoft.com/office/drawing/2014/main" id="{00000000-0008-0000-0400-000003080000}"/>
                </a:ext>
              </a:extLst>
            </xdr:cNvPr>
            <xdr:cNvSpPr txBox="1"/>
          </xdr:nvSpPr>
          <xdr:spPr>
            <a:xfrm>
              <a:off x="12658724" y="2066925"/>
              <a:ext cx="3389605" cy="1171575"/>
            </a:xfrm>
            <a:prstGeom prst="rect">
              <a:avLst/>
            </a:prstGeom>
          </xdr:spPr>
          <xdr:txBody>
            <a:bodyPr vertOverflow="clip" horzOverflow="clip" wrap="none">
              <a:spAutoFit/>
            </a:bodyPr>
            <a:lstStyle/>
            <a:p>
              <a:pPr/>
              <a:r>
                <a:rPr lang="ca-ES" i="0">
                  <a:solidFill>
                    <a:srgbClr val="000000"/>
                  </a:solidFill>
                  <a:latin typeface="Cambria Math" panose="02040503050406030204" pitchFamily="18" charset="0"/>
                </a:rPr>
                <a:t>𝑛=((1−(1−𝐴)^(1/(𝑁×𝑝)))×(𝑁−0,5(𝑆𝑒_𝑔×𝑁×𝑝−1)))/(𝑆𝑒_𝑔 )</a:t>
              </a:r>
              <a:endParaRPr lang="ca-ES"/>
            </a:p>
          </xdr:txBody>
        </xdr:sp>
      </mc:Fallback>
    </mc:AlternateContent>
    <xdr:clientData/>
  </xdr:twoCellAnchor>
</xdr:wsDr>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19"/>
  <sheetViews>
    <sheetView tabSelected="1" topLeftCell="A2" zoomScale="115" zoomScaleNormal="115" workbookViewId="0">
      <selection activeCell="D15" sqref="D15"/>
    </sheetView>
  </sheetViews>
  <sheetFormatPr baseColWidth="10" defaultColWidth="11.42578125" defaultRowHeight="15" x14ac:dyDescent="0.25"/>
  <cols>
    <col min="1" max="1" width="94.5703125" customWidth="1"/>
    <col min="2" max="2" width="8.7109375" style="68" customWidth="1"/>
    <col min="3" max="3" width="86.7109375" customWidth="1"/>
    <col min="5" max="5" width="68" customWidth="1"/>
    <col min="7" max="14" width="8" customWidth="1"/>
  </cols>
  <sheetData>
    <row r="1" spans="1:16" ht="15.75" thickBot="1" x14ac:dyDescent="0.3"/>
    <row r="2" spans="1:16" ht="19.5" thickBot="1" x14ac:dyDescent="0.35">
      <c r="A2" s="140" t="s">
        <v>95</v>
      </c>
      <c r="B2" s="142"/>
      <c r="C2" s="119"/>
      <c r="E2" s="197"/>
      <c r="F2" s="197"/>
      <c r="G2" s="198" t="s">
        <v>55</v>
      </c>
      <c r="H2" s="199"/>
      <c r="I2" s="199"/>
      <c r="J2" s="199"/>
      <c r="K2" s="199"/>
      <c r="L2" s="199"/>
      <c r="M2" s="199"/>
      <c r="N2" s="200"/>
      <c r="O2" s="197"/>
      <c r="P2" s="197"/>
    </row>
    <row r="3" spans="1:16" ht="12.75" customHeight="1" x14ac:dyDescent="0.3">
      <c r="A3" s="117"/>
      <c r="B3" s="143"/>
      <c r="C3" s="118"/>
      <c r="E3" s="197"/>
      <c r="F3" s="197"/>
      <c r="G3" s="201"/>
      <c r="H3" s="202"/>
      <c r="I3" s="202"/>
      <c r="J3" s="202"/>
      <c r="K3" s="202"/>
      <c r="L3" s="202"/>
      <c r="M3" s="202"/>
      <c r="N3" s="203"/>
      <c r="O3" s="197"/>
      <c r="P3" s="197"/>
    </row>
    <row r="4" spans="1:16" ht="21.75" customHeight="1" x14ac:dyDescent="0.25">
      <c r="A4" s="176" t="s">
        <v>51</v>
      </c>
      <c r="B4" s="144"/>
      <c r="C4" s="177" t="s">
        <v>47</v>
      </c>
      <c r="E4" s="197"/>
      <c r="F4" s="197"/>
      <c r="G4" s="201" t="s">
        <v>29</v>
      </c>
      <c r="H4" s="202"/>
      <c r="I4" s="202"/>
      <c r="J4" s="202"/>
      <c r="K4" s="202"/>
      <c r="L4" s="202"/>
      <c r="M4" s="202"/>
      <c r="N4" s="203"/>
      <c r="O4" s="197"/>
      <c r="P4" s="197"/>
    </row>
    <row r="5" spans="1:16" ht="77.25" customHeight="1" x14ac:dyDescent="0.25">
      <c r="A5" s="153" t="s">
        <v>85</v>
      </c>
      <c r="B5" s="145"/>
      <c r="C5" s="156" t="s">
        <v>96</v>
      </c>
      <c r="E5" s="197"/>
      <c r="F5" s="197"/>
      <c r="G5" s="201" t="s">
        <v>30</v>
      </c>
      <c r="H5" s="202"/>
      <c r="I5" s="202">
        <v>1</v>
      </c>
      <c r="J5" s="202"/>
      <c r="K5" s="202"/>
      <c r="L5" s="202"/>
      <c r="M5" s="202"/>
      <c r="N5" s="203"/>
      <c r="O5" s="197"/>
      <c r="P5" s="197"/>
    </row>
    <row r="6" spans="1:16" ht="46.5" customHeight="1" x14ac:dyDescent="0.25">
      <c r="A6" s="154" t="s">
        <v>84</v>
      </c>
      <c r="B6" s="146"/>
      <c r="C6" s="157" t="s">
        <v>92</v>
      </c>
      <c r="E6" s="197"/>
      <c r="F6" s="197"/>
      <c r="G6" s="201"/>
      <c r="H6" s="202"/>
      <c r="I6" s="202"/>
      <c r="J6" s="202"/>
      <c r="K6" s="202"/>
      <c r="L6" s="202"/>
      <c r="M6" s="202"/>
      <c r="N6" s="203"/>
      <c r="O6" s="197"/>
      <c r="P6" s="197"/>
    </row>
    <row r="7" spans="1:16" ht="31.5" customHeight="1" x14ac:dyDescent="0.25">
      <c r="A7" s="141"/>
      <c r="B7" s="147"/>
      <c r="C7" s="155" t="s">
        <v>87</v>
      </c>
      <c r="D7" s="15"/>
      <c r="E7" s="197"/>
      <c r="F7" s="197"/>
      <c r="G7" s="201"/>
      <c r="H7" s="202">
        <v>1</v>
      </c>
      <c r="I7" s="202"/>
      <c r="J7" s="202">
        <v>4</v>
      </c>
      <c r="K7" s="202"/>
      <c r="L7" s="202">
        <v>3</v>
      </c>
      <c r="M7" s="202"/>
      <c r="N7" s="203">
        <v>1</v>
      </c>
      <c r="O7" s="197"/>
      <c r="P7" s="197"/>
    </row>
    <row r="8" spans="1:16" ht="41.25" customHeight="1" x14ac:dyDescent="0.25">
      <c r="A8" s="147"/>
      <c r="B8" s="148"/>
      <c r="C8" s="152"/>
      <c r="D8" s="15"/>
      <c r="E8" s="197"/>
      <c r="F8" s="197"/>
      <c r="G8" s="201"/>
      <c r="H8" s="202"/>
      <c r="I8" s="202"/>
      <c r="J8" s="202"/>
      <c r="K8" s="202"/>
      <c r="L8" s="202"/>
      <c r="M8" s="202"/>
      <c r="N8" s="203"/>
      <c r="O8" s="197"/>
      <c r="P8" s="197"/>
    </row>
    <row r="9" spans="1:16" ht="23.25" customHeight="1" x14ac:dyDescent="0.25">
      <c r="A9" s="163" t="s">
        <v>86</v>
      </c>
      <c r="B9" s="149"/>
      <c r="E9" s="197"/>
      <c r="F9" s="197"/>
      <c r="G9" s="201"/>
      <c r="H9" s="202">
        <v>1</v>
      </c>
      <c r="I9" s="202"/>
      <c r="J9" s="202">
        <v>4</v>
      </c>
      <c r="K9" s="202"/>
      <c r="L9" s="202">
        <v>5</v>
      </c>
      <c r="M9" s="202"/>
      <c r="N9" s="203">
        <v>1</v>
      </c>
      <c r="O9" s="197"/>
      <c r="P9" s="197"/>
    </row>
    <row r="10" spans="1:16" ht="30" customHeight="1" x14ac:dyDescent="0.25">
      <c r="A10" s="160" t="s">
        <v>97</v>
      </c>
      <c r="B10" s="150"/>
      <c r="E10" s="197"/>
      <c r="F10" s="197"/>
      <c r="G10" s="204"/>
      <c r="H10" s="205">
        <v>2</v>
      </c>
      <c r="I10" s="205"/>
      <c r="J10" s="205">
        <v>4</v>
      </c>
      <c r="K10" s="205"/>
      <c r="L10" s="205">
        <v>5</v>
      </c>
      <c r="M10" s="205"/>
      <c r="N10" s="206">
        <v>1</v>
      </c>
      <c r="O10" s="197"/>
      <c r="P10" s="197"/>
    </row>
    <row r="11" spans="1:16" ht="34.5" customHeight="1" x14ac:dyDescent="0.25">
      <c r="A11" s="161" t="s">
        <v>88</v>
      </c>
      <c r="B11" s="150"/>
      <c r="E11" s="197"/>
      <c r="F11" s="197"/>
      <c r="G11" s="197"/>
      <c r="H11" s="197"/>
      <c r="I11" s="197"/>
      <c r="J11" s="197"/>
      <c r="K11" s="197"/>
      <c r="L11" s="197"/>
      <c r="M11" s="197"/>
      <c r="N11" s="197"/>
      <c r="O11" s="197"/>
      <c r="P11" s="197"/>
    </row>
    <row r="12" spans="1:16" ht="27" customHeight="1" x14ac:dyDescent="0.25">
      <c r="A12" s="161" t="s">
        <v>89</v>
      </c>
      <c r="B12" s="150"/>
      <c r="E12" s="197"/>
      <c r="F12" s="197"/>
      <c r="G12" s="197"/>
      <c r="H12" s="197"/>
      <c r="I12" s="197"/>
      <c r="J12" s="197"/>
      <c r="K12" s="197"/>
      <c r="L12" s="197"/>
      <c r="M12" s="197"/>
      <c r="N12" s="197"/>
      <c r="O12" s="197"/>
      <c r="P12" s="197"/>
    </row>
    <row r="13" spans="1:16" ht="31.5" x14ac:dyDescent="0.25">
      <c r="A13" s="161" t="s">
        <v>90</v>
      </c>
      <c r="B13" s="150"/>
      <c r="E13" s="197"/>
      <c r="F13" s="197"/>
      <c r="G13" s="197"/>
      <c r="H13" s="197"/>
      <c r="I13" s="197"/>
      <c r="J13" s="197"/>
      <c r="K13" s="197"/>
      <c r="L13" s="197"/>
      <c r="M13" s="197"/>
      <c r="N13" s="197"/>
      <c r="O13" s="197"/>
      <c r="P13" s="197"/>
    </row>
    <row r="14" spans="1:16" ht="40.5" customHeight="1" x14ac:dyDescent="0.25">
      <c r="A14" s="161" t="s">
        <v>91</v>
      </c>
      <c r="B14" s="148"/>
    </row>
    <row r="15" spans="1:16" ht="104.25" customHeight="1" x14ac:dyDescent="0.25">
      <c r="A15" s="162" t="s">
        <v>93</v>
      </c>
      <c r="B15" s="151"/>
    </row>
    <row r="16" spans="1:16" x14ac:dyDescent="0.25">
      <c r="A16" s="118"/>
      <c r="B16" s="150"/>
    </row>
    <row r="17" spans="1:2" x14ac:dyDescent="0.25">
      <c r="A17" s="118"/>
      <c r="B17" s="150"/>
    </row>
    <row r="18" spans="1:2" x14ac:dyDescent="0.25">
      <c r="A18" s="67"/>
    </row>
    <row r="19" spans="1:2" x14ac:dyDescent="0.25">
      <c r="A19" s="67"/>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1">
    <tabColor theme="4" tint="0.39997558519241921"/>
  </sheetPr>
  <dimension ref="A1:P29"/>
  <sheetViews>
    <sheetView workbookViewId="0">
      <selection activeCell="G13" sqref="G13"/>
    </sheetView>
  </sheetViews>
  <sheetFormatPr baseColWidth="10" defaultColWidth="8.7109375" defaultRowHeight="15" x14ac:dyDescent="0.25"/>
  <cols>
    <col min="2" max="2" width="22.140625" customWidth="1"/>
    <col min="3" max="3" width="20" customWidth="1"/>
    <col min="4" max="4" width="21" customWidth="1"/>
    <col min="5" max="6" width="10.140625" customWidth="1"/>
    <col min="7" max="7" width="12.42578125" customWidth="1"/>
    <col min="8" max="12" width="11" customWidth="1"/>
  </cols>
  <sheetData>
    <row r="1" spans="1:16" x14ac:dyDescent="0.25">
      <c r="A1" s="81"/>
      <c r="B1" s="81"/>
      <c r="C1" s="81"/>
      <c r="D1" s="81"/>
      <c r="E1" s="81"/>
      <c r="F1" s="81"/>
      <c r="G1" s="81"/>
      <c r="H1" s="81"/>
      <c r="I1" s="81"/>
      <c r="J1" s="81"/>
      <c r="K1" s="81"/>
      <c r="L1" s="67"/>
      <c r="M1" s="67"/>
    </row>
    <row r="2" spans="1:16" ht="19.5" customHeight="1" x14ac:dyDescent="0.25">
      <c r="A2" s="81"/>
      <c r="B2" s="81"/>
      <c r="C2" s="81"/>
      <c r="D2" s="81"/>
      <c r="E2" s="81"/>
      <c r="F2" s="81"/>
      <c r="G2" s="81"/>
      <c r="H2" s="81"/>
      <c r="I2" s="81"/>
      <c r="J2" s="81"/>
      <c r="K2" s="81"/>
      <c r="L2" s="67"/>
      <c r="M2" s="67"/>
      <c r="P2" s="15"/>
    </row>
    <row r="3" spans="1:16" ht="18" customHeight="1" x14ac:dyDescent="0.25">
      <c r="A3" s="81"/>
      <c r="B3" s="81" t="s">
        <v>46</v>
      </c>
      <c r="C3" s="81"/>
      <c r="D3" s="81"/>
      <c r="E3" s="81"/>
      <c r="F3" s="81"/>
      <c r="G3" s="81"/>
      <c r="H3" s="81"/>
      <c r="I3" s="81"/>
      <c r="J3" s="81"/>
      <c r="K3" s="81"/>
      <c r="L3" s="67"/>
      <c r="M3" s="67"/>
      <c r="P3" s="15"/>
    </row>
    <row r="4" spans="1:16" ht="18" customHeight="1" x14ac:dyDescent="0.25">
      <c r="A4" s="81"/>
      <c r="B4" s="81" t="s">
        <v>77</v>
      </c>
      <c r="C4" s="81"/>
      <c r="D4" s="81"/>
      <c r="E4" s="81"/>
      <c r="F4" s="81"/>
      <c r="G4" s="81"/>
      <c r="H4" s="68"/>
      <c r="I4" s="68"/>
      <c r="J4" s="68"/>
      <c r="K4" s="68"/>
      <c r="L4" s="15"/>
    </row>
    <row r="5" spans="1:16" ht="18" customHeight="1" x14ac:dyDescent="0.25">
      <c r="A5" s="81"/>
      <c r="B5" s="81"/>
      <c r="C5" s="81"/>
      <c r="D5" s="81"/>
      <c r="E5" s="81"/>
      <c r="F5" s="81"/>
      <c r="G5" s="81"/>
      <c r="H5" s="68"/>
      <c r="I5" s="68"/>
      <c r="J5" s="68"/>
      <c r="K5" s="68"/>
      <c r="L5" s="15"/>
    </row>
    <row r="6" spans="1:16" ht="18" customHeight="1" x14ac:dyDescent="0.25">
      <c r="A6" s="81"/>
      <c r="B6" s="159" t="s">
        <v>45</v>
      </c>
      <c r="C6" s="81"/>
      <c r="D6" s="81"/>
      <c r="E6" s="81"/>
      <c r="F6" s="81"/>
      <c r="G6" s="81"/>
      <c r="H6" s="68"/>
      <c r="I6" s="68"/>
      <c r="J6" s="68"/>
      <c r="K6" s="68"/>
      <c r="L6" s="15"/>
    </row>
    <row r="7" spans="1:16" ht="18" customHeight="1" x14ac:dyDescent="0.25">
      <c r="A7" s="81"/>
      <c r="B7" s="81"/>
      <c r="C7" s="81"/>
      <c r="D7" s="81"/>
      <c r="E7" s="81"/>
      <c r="F7" s="81"/>
      <c r="G7" s="81"/>
      <c r="H7" s="68"/>
      <c r="I7" s="68"/>
      <c r="J7" s="68"/>
      <c r="K7" s="68"/>
      <c r="L7" s="15"/>
    </row>
    <row r="8" spans="1:16" ht="18" customHeight="1" x14ac:dyDescent="0.25">
      <c r="A8" s="81"/>
      <c r="B8" s="81"/>
      <c r="C8" s="81"/>
      <c r="D8" s="81"/>
      <c r="E8" s="81"/>
      <c r="F8" s="81"/>
      <c r="G8" s="81"/>
      <c r="H8" s="68"/>
      <c r="I8" s="68"/>
      <c r="J8" s="68"/>
      <c r="K8" s="68"/>
      <c r="L8" s="15"/>
    </row>
    <row r="9" spans="1:16" ht="18" customHeight="1" x14ac:dyDescent="0.25">
      <c r="A9" s="81"/>
      <c r="B9" s="83" t="str">
        <f>'Formules et données'!B28&amp; ". Indicateurs:"</f>
        <v>Etourdissement électrique. Indicateurs:</v>
      </c>
      <c r="C9" s="83"/>
      <c r="D9" s="81"/>
      <c r="E9" s="81"/>
      <c r="F9" s="81"/>
      <c r="G9" s="81"/>
      <c r="H9" s="81"/>
      <c r="I9" s="81"/>
      <c r="J9" s="82"/>
      <c r="K9" s="81"/>
      <c r="L9" s="67"/>
      <c r="M9" s="67"/>
      <c r="P9" s="15"/>
    </row>
    <row r="10" spans="1:16" ht="18" customHeight="1" x14ac:dyDescent="0.35">
      <c r="A10" s="136"/>
      <c r="B10" s="139" t="s">
        <v>83</v>
      </c>
      <c r="C10" s="137"/>
      <c r="D10" s="136"/>
      <c r="E10" s="136"/>
      <c r="F10" s="136"/>
      <c r="G10" s="136"/>
      <c r="H10" s="136"/>
      <c r="I10" s="136"/>
      <c r="J10" s="138"/>
      <c r="K10" s="136"/>
      <c r="L10" s="67"/>
      <c r="M10" s="67"/>
      <c r="P10" s="15"/>
    </row>
    <row r="11" spans="1:16" ht="18" customHeight="1" x14ac:dyDescent="0.25">
      <c r="A11" s="136"/>
      <c r="B11" s="137"/>
      <c r="C11" s="137"/>
      <c r="D11" s="136"/>
      <c r="E11" s="136"/>
      <c r="F11" s="136"/>
      <c r="G11" s="136"/>
      <c r="H11" s="136"/>
      <c r="I11" s="136"/>
      <c r="J11" s="138"/>
      <c r="K11" s="136"/>
      <c r="L11" s="67"/>
      <c r="M11" s="67"/>
      <c r="P11" s="15"/>
    </row>
    <row r="12" spans="1:16" ht="18" customHeight="1" x14ac:dyDescent="0.25">
      <c r="A12" s="81"/>
      <c r="B12" s="175" t="s">
        <v>57</v>
      </c>
      <c r="C12" s="81"/>
      <c r="D12" s="81"/>
      <c r="E12" s="81"/>
      <c r="F12" s="81"/>
      <c r="G12" s="122" t="s">
        <v>59</v>
      </c>
      <c r="H12" s="85" t="s">
        <v>23</v>
      </c>
      <c r="I12" s="86" t="s">
        <v>24</v>
      </c>
      <c r="J12" s="87" t="s">
        <v>40</v>
      </c>
      <c r="K12" s="81"/>
      <c r="L12" s="67"/>
      <c r="M12" s="67"/>
      <c r="P12" s="15"/>
    </row>
    <row r="13" spans="1:16" ht="18" customHeight="1" x14ac:dyDescent="0.25">
      <c r="A13" s="81"/>
      <c r="B13" s="158" t="s">
        <v>19</v>
      </c>
      <c r="C13" s="158" t="s">
        <v>20</v>
      </c>
      <c r="D13" s="158" t="s">
        <v>38</v>
      </c>
      <c r="E13" s="81"/>
      <c r="F13" s="94" t="s">
        <v>60</v>
      </c>
      <c r="G13" s="110">
        <f>1-((1-H13)*(1-I13)*(1-J13))</f>
        <v>0.99683200000000005</v>
      </c>
      <c r="H13" s="89">
        <f>'Formules et données'!M31</f>
        <v>0.76</v>
      </c>
      <c r="I13" s="84">
        <f>'Formules et données'!O31</f>
        <v>0.78</v>
      </c>
      <c r="J13" s="90">
        <f>'Formules et données'!Q31</f>
        <v>0.94</v>
      </c>
      <c r="K13" s="81"/>
      <c r="L13" s="67"/>
      <c r="M13" s="67"/>
      <c r="P13" s="15"/>
    </row>
    <row r="14" spans="1:16" ht="18" customHeight="1" x14ac:dyDescent="0.25">
      <c r="A14" s="81"/>
      <c r="B14" s="81"/>
      <c r="C14" s="81"/>
      <c r="D14" s="81"/>
      <c r="E14" s="81"/>
      <c r="F14" s="96" t="s">
        <v>61</v>
      </c>
      <c r="G14" s="111">
        <f>H14*I14*J14</f>
        <v>0.98230342942269522</v>
      </c>
      <c r="H14" s="112">
        <f>'Formules et données'!N31</f>
        <v>0.98598838677101741</v>
      </c>
      <c r="I14" s="113">
        <f>'Formules et données'!P31</f>
        <v>0.9998292495517801</v>
      </c>
      <c r="J14" s="114">
        <f>'Formules et données'!R31</f>
        <v>0.99643281807372175</v>
      </c>
      <c r="K14" s="81"/>
      <c r="L14" s="67"/>
      <c r="M14" s="67"/>
      <c r="P14" s="15"/>
    </row>
    <row r="15" spans="1:16" ht="17.100000000000001" customHeight="1" x14ac:dyDescent="0.25">
      <c r="A15" s="81"/>
      <c r="B15" s="81"/>
      <c r="C15" s="88"/>
      <c r="D15" s="81"/>
      <c r="E15" s="81"/>
      <c r="F15" s="81"/>
      <c r="G15" s="81"/>
      <c r="H15" s="81"/>
      <c r="I15" s="81"/>
      <c r="J15" s="81"/>
      <c r="K15" s="81"/>
      <c r="L15" s="67"/>
      <c r="M15" s="67"/>
      <c r="P15" s="15"/>
    </row>
    <row r="16" spans="1:16" ht="18.600000000000001" customHeight="1" x14ac:dyDescent="0.25">
      <c r="A16" s="81"/>
      <c r="B16" s="81"/>
      <c r="C16" s="81"/>
      <c r="D16" s="81"/>
      <c r="E16" s="81"/>
      <c r="F16" s="81"/>
      <c r="G16" s="81"/>
      <c r="H16" s="81"/>
      <c r="I16" s="81"/>
      <c r="J16" s="81"/>
      <c r="K16" s="81"/>
      <c r="L16" s="67"/>
      <c r="M16" s="67"/>
    </row>
    <row r="17" spans="1:13" ht="15.95" customHeight="1" x14ac:dyDescent="0.25">
      <c r="A17" s="81"/>
      <c r="B17" s="175" t="s">
        <v>73</v>
      </c>
      <c r="C17" s="81"/>
      <c r="D17" s="81"/>
      <c r="E17" s="81"/>
      <c r="F17" s="81"/>
      <c r="G17" s="81"/>
      <c r="H17" s="81"/>
      <c r="I17" s="81"/>
      <c r="J17" s="81"/>
      <c r="K17" s="81"/>
      <c r="L17" s="67"/>
      <c r="M17" s="67"/>
    </row>
    <row r="18" spans="1:13" ht="15.95" customHeight="1" x14ac:dyDescent="0.25">
      <c r="A18" s="81"/>
      <c r="B18" s="158" t="s">
        <v>19</v>
      </c>
      <c r="C18" s="158" t="s">
        <v>20</v>
      </c>
      <c r="D18" s="158" t="s">
        <v>38</v>
      </c>
      <c r="E18" s="81"/>
      <c r="F18" s="94" t="s">
        <v>60</v>
      </c>
      <c r="G18" s="95">
        <f>1-((1-H18)*(1-I18)*(1-J18))</f>
        <v>0.99985599999999997</v>
      </c>
      <c r="H18" s="91">
        <f>'Formules et données'!M33</f>
        <v>0.76</v>
      </c>
      <c r="I18" s="92">
        <f>'Formules et données'!O33</f>
        <v>0.94</v>
      </c>
      <c r="J18" s="93">
        <f>'Formules et données'!Q33</f>
        <v>0.99</v>
      </c>
      <c r="K18" s="81"/>
      <c r="L18" s="67"/>
      <c r="M18" s="67"/>
    </row>
    <row r="19" spans="1:13" x14ac:dyDescent="0.25">
      <c r="A19" s="81"/>
      <c r="B19" s="81"/>
      <c r="C19" s="81"/>
      <c r="D19" s="81"/>
      <c r="E19" s="81"/>
      <c r="F19" s="96" t="s">
        <v>61</v>
      </c>
      <c r="G19" s="97">
        <f>H19*I19*J19</f>
        <v>0.98871556490709578</v>
      </c>
      <c r="H19" s="112">
        <f>'Formules et données'!N33</f>
        <v>0.99924822005041347</v>
      </c>
      <c r="I19" s="113">
        <f>'Formules et données'!P33</f>
        <v>0.99784128747527001</v>
      </c>
      <c r="J19" s="114">
        <f>'Formules et données'!R33</f>
        <v>0.99160000000000004</v>
      </c>
      <c r="K19" s="81"/>
      <c r="L19" s="67"/>
      <c r="M19" s="67"/>
    </row>
    <row r="20" spans="1:13" x14ac:dyDescent="0.25">
      <c r="A20" s="81"/>
      <c r="B20" s="81"/>
      <c r="C20" s="81"/>
      <c r="D20" s="81"/>
      <c r="E20" s="81"/>
      <c r="F20" s="81"/>
      <c r="G20" s="81"/>
      <c r="H20" s="81"/>
      <c r="I20" s="81"/>
      <c r="J20" s="81"/>
      <c r="K20" s="81"/>
      <c r="L20" s="67"/>
      <c r="M20" s="67"/>
    </row>
    <row r="21" spans="1:13" x14ac:dyDescent="0.25">
      <c r="A21" s="81"/>
      <c r="B21" s="81"/>
      <c r="C21" s="81"/>
      <c r="D21" s="81"/>
      <c r="E21" s="81"/>
      <c r="F21" s="81"/>
      <c r="G21" s="81"/>
      <c r="H21" s="81"/>
      <c r="I21" s="81"/>
      <c r="J21" s="81"/>
      <c r="K21" s="81"/>
      <c r="L21" s="67"/>
      <c r="M21" s="67"/>
    </row>
    <row r="22" spans="1:13" ht="15.75" x14ac:dyDescent="0.25">
      <c r="A22" s="81"/>
      <c r="B22" s="175" t="s">
        <v>22</v>
      </c>
      <c r="C22" s="81"/>
      <c r="D22" s="81"/>
      <c r="E22" s="81"/>
      <c r="F22" s="81"/>
      <c r="G22" s="81"/>
      <c r="H22" s="81"/>
      <c r="I22" s="81"/>
      <c r="J22" s="81"/>
      <c r="K22" s="81"/>
      <c r="L22" s="67"/>
      <c r="M22" s="67"/>
    </row>
    <row r="23" spans="1:13" x14ac:dyDescent="0.25">
      <c r="A23" s="81"/>
      <c r="B23" s="158" t="s">
        <v>19</v>
      </c>
      <c r="C23" s="158" t="s">
        <v>20</v>
      </c>
      <c r="D23" s="158" t="s">
        <v>38</v>
      </c>
      <c r="E23" s="81"/>
      <c r="F23" s="94" t="s">
        <v>60</v>
      </c>
      <c r="G23" s="95">
        <f>1-((1-H23)*(1-I23)*(1-J23))</f>
        <v>0.99960400000000005</v>
      </c>
      <c r="H23" s="91">
        <f>'Formules et données'!M35</f>
        <v>0.94</v>
      </c>
      <c r="I23" s="92">
        <f>'Formules et données'!O35</f>
        <v>0.94</v>
      </c>
      <c r="J23" s="93">
        <f>'Formules et données'!Q35</f>
        <v>0.89</v>
      </c>
      <c r="K23" s="81"/>
      <c r="L23" s="67"/>
      <c r="M23" s="67"/>
    </row>
    <row r="24" spans="1:13" x14ac:dyDescent="0.25">
      <c r="A24" s="81"/>
      <c r="B24" s="81"/>
      <c r="C24" s="81"/>
      <c r="D24" s="81"/>
      <c r="E24" s="81"/>
      <c r="F24" s="96" t="s">
        <v>61</v>
      </c>
      <c r="G24" s="97">
        <f>H24*I24*J24</f>
        <v>0.998196553481284</v>
      </c>
      <c r="H24" s="112">
        <f>'Formules et données'!N35</f>
        <v>0.99857700000000005</v>
      </c>
      <c r="I24" s="113">
        <f>'Formules et données'!P35</f>
        <v>0.99961901133441278</v>
      </c>
      <c r="J24" s="114">
        <f>'Formules et données'!R35</f>
        <v>1</v>
      </c>
      <c r="K24" s="81"/>
      <c r="L24" s="67"/>
      <c r="M24" s="67"/>
    </row>
    <row r="25" spans="1:13" x14ac:dyDescent="0.25">
      <c r="A25" s="81"/>
      <c r="B25" s="88"/>
      <c r="C25" s="88"/>
      <c r="D25" s="81"/>
      <c r="E25" s="81"/>
      <c r="F25" s="81"/>
      <c r="G25" s="81"/>
      <c r="H25" s="81"/>
      <c r="I25" s="81"/>
      <c r="J25" s="81"/>
      <c r="K25" s="81"/>
      <c r="L25" s="67"/>
      <c r="M25" s="67"/>
    </row>
    <row r="26" spans="1:13" x14ac:dyDescent="0.25">
      <c r="A26" s="81"/>
      <c r="B26" s="81"/>
      <c r="C26" s="81"/>
      <c r="D26" s="81"/>
      <c r="E26" s="81"/>
      <c r="F26" s="81"/>
      <c r="G26" s="81"/>
      <c r="H26" s="81"/>
      <c r="I26" s="81"/>
      <c r="J26" s="81"/>
      <c r="K26" s="81"/>
      <c r="L26" s="67"/>
      <c r="M26" s="67"/>
    </row>
    <row r="27" spans="1:13" x14ac:dyDescent="0.25">
      <c r="A27" s="81"/>
      <c r="B27" s="81"/>
      <c r="C27" s="81"/>
      <c r="D27" s="81"/>
      <c r="E27" s="81"/>
      <c r="F27" s="81"/>
      <c r="G27" s="81"/>
      <c r="H27" s="81"/>
      <c r="I27" s="81"/>
      <c r="J27" s="81"/>
      <c r="K27" s="81"/>
      <c r="L27" s="67"/>
      <c r="M27" s="67"/>
    </row>
    <row r="28" spans="1:13" x14ac:dyDescent="0.25">
      <c r="A28" s="68"/>
      <c r="B28" s="68"/>
      <c r="C28" s="68"/>
      <c r="D28" s="67"/>
      <c r="E28" s="67"/>
      <c r="K28" s="67"/>
      <c r="L28" s="67"/>
      <c r="M28" s="67"/>
    </row>
    <row r="29" spans="1:13" x14ac:dyDescent="0.25">
      <c r="A29" s="67"/>
      <c r="B29" s="67"/>
      <c r="C29" s="67"/>
      <c r="D29" s="67"/>
      <c r="E29" s="67"/>
      <c r="K29" s="67"/>
      <c r="L29" s="67"/>
      <c r="M29" s="67"/>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defaultSize="0" autoLine="0" autoPict="0">
                <anchor moveWithCells="1">
                  <from>
                    <xdr:col>1</xdr:col>
                    <xdr:colOff>0</xdr:colOff>
                    <xdr:row>12</xdr:row>
                    <xdr:rowOff>200025</xdr:rowOff>
                  </from>
                  <to>
                    <xdr:col>1</xdr:col>
                    <xdr:colOff>1343025</xdr:colOff>
                    <xdr:row>14</xdr:row>
                    <xdr:rowOff>0</xdr:rowOff>
                  </to>
                </anchor>
              </controlPr>
            </control>
          </mc:Choice>
        </mc:AlternateContent>
        <mc:AlternateContent xmlns:mc="http://schemas.openxmlformats.org/markup-compatibility/2006">
          <mc:Choice Requires="x14">
            <control shapeId="1038" r:id="rId5" name="Drop Down 14">
              <controlPr defaultSize="0" autoLine="0" autoPict="0">
                <anchor moveWithCells="1">
                  <from>
                    <xdr:col>2</xdr:col>
                    <xdr:colOff>19050</xdr:colOff>
                    <xdr:row>12</xdr:row>
                    <xdr:rowOff>209550</xdr:rowOff>
                  </from>
                  <to>
                    <xdr:col>3</xdr:col>
                    <xdr:colOff>19050</xdr:colOff>
                    <xdr:row>14</xdr:row>
                    <xdr:rowOff>0</xdr:rowOff>
                  </to>
                </anchor>
              </controlPr>
            </control>
          </mc:Choice>
        </mc:AlternateContent>
        <mc:AlternateContent xmlns:mc="http://schemas.openxmlformats.org/markup-compatibility/2006">
          <mc:Choice Requires="x14">
            <control shapeId="1039" r:id="rId6" name="Drop Down 15">
              <controlPr defaultSize="0" autoLine="0" autoPict="0">
                <anchor moveWithCells="1">
                  <from>
                    <xdr:col>1</xdr:col>
                    <xdr:colOff>0</xdr:colOff>
                    <xdr:row>18</xdr:row>
                    <xdr:rowOff>0</xdr:rowOff>
                  </from>
                  <to>
                    <xdr:col>1</xdr:col>
                    <xdr:colOff>1352550</xdr:colOff>
                    <xdr:row>19</xdr:row>
                    <xdr:rowOff>19050</xdr:rowOff>
                  </to>
                </anchor>
              </controlPr>
            </control>
          </mc:Choice>
        </mc:AlternateContent>
        <mc:AlternateContent xmlns:mc="http://schemas.openxmlformats.org/markup-compatibility/2006">
          <mc:Choice Requires="x14">
            <control shapeId="1040" r:id="rId7" name="Drop Down 16">
              <controlPr defaultSize="0" autoLine="0" autoPict="0">
                <anchor moveWithCells="1">
                  <from>
                    <xdr:col>2</xdr:col>
                    <xdr:colOff>9525</xdr:colOff>
                    <xdr:row>18</xdr:row>
                    <xdr:rowOff>0</xdr:rowOff>
                  </from>
                  <to>
                    <xdr:col>3</xdr:col>
                    <xdr:colOff>38100</xdr:colOff>
                    <xdr:row>19</xdr:row>
                    <xdr:rowOff>19050</xdr:rowOff>
                  </to>
                </anchor>
              </controlPr>
            </control>
          </mc:Choice>
        </mc:AlternateContent>
        <mc:AlternateContent xmlns:mc="http://schemas.openxmlformats.org/markup-compatibility/2006">
          <mc:Choice Requires="x14">
            <control shapeId="1041" r:id="rId8" name="Drop Down 17">
              <controlPr defaultSize="0" autoLine="0" autoPict="0">
                <anchor moveWithCells="1">
                  <from>
                    <xdr:col>1</xdr:col>
                    <xdr:colOff>9525</xdr:colOff>
                    <xdr:row>23</xdr:row>
                    <xdr:rowOff>0</xdr:rowOff>
                  </from>
                  <to>
                    <xdr:col>1</xdr:col>
                    <xdr:colOff>1343025</xdr:colOff>
                    <xdr:row>24</xdr:row>
                    <xdr:rowOff>28575</xdr:rowOff>
                  </to>
                </anchor>
              </controlPr>
            </control>
          </mc:Choice>
        </mc:AlternateContent>
        <mc:AlternateContent xmlns:mc="http://schemas.openxmlformats.org/markup-compatibility/2006">
          <mc:Choice Requires="x14">
            <control shapeId="1042" r:id="rId9" name="Drop Down 18">
              <controlPr defaultSize="0" autoLine="0" autoPict="0">
                <anchor moveWithCells="1">
                  <from>
                    <xdr:col>2</xdr:col>
                    <xdr:colOff>19050</xdr:colOff>
                    <xdr:row>23</xdr:row>
                    <xdr:rowOff>9525</xdr:rowOff>
                  </from>
                  <to>
                    <xdr:col>3</xdr:col>
                    <xdr:colOff>38100</xdr:colOff>
                    <xdr:row>24</xdr:row>
                    <xdr:rowOff>19050</xdr:rowOff>
                  </to>
                </anchor>
              </controlPr>
            </control>
          </mc:Choice>
        </mc:AlternateContent>
        <mc:AlternateContent xmlns:mc="http://schemas.openxmlformats.org/markup-compatibility/2006">
          <mc:Choice Requires="x14">
            <control shapeId="1043" r:id="rId10" name="Drop Down 19">
              <controlPr defaultSize="0" autoLine="0" autoPict="0">
                <anchor moveWithCells="1">
                  <from>
                    <xdr:col>2</xdr:col>
                    <xdr:colOff>209550</xdr:colOff>
                    <xdr:row>4</xdr:row>
                    <xdr:rowOff>200025</xdr:rowOff>
                  </from>
                  <to>
                    <xdr:col>3</xdr:col>
                    <xdr:colOff>695325</xdr:colOff>
                    <xdr:row>6</xdr:row>
                    <xdr:rowOff>57150</xdr:rowOff>
                  </to>
                </anchor>
              </controlPr>
            </control>
          </mc:Choice>
        </mc:AlternateContent>
        <mc:AlternateContent xmlns:mc="http://schemas.openxmlformats.org/markup-compatibility/2006">
          <mc:Choice Requires="x14">
            <control shapeId="1044" r:id="rId11" name="Drop Down 20">
              <controlPr defaultSize="0" autoLine="0" autoPict="0">
                <anchor moveWithCells="1">
                  <from>
                    <xdr:col>3</xdr:col>
                    <xdr:colOff>28575</xdr:colOff>
                    <xdr:row>12</xdr:row>
                    <xdr:rowOff>209550</xdr:rowOff>
                  </from>
                  <to>
                    <xdr:col>4</xdr:col>
                    <xdr:colOff>0</xdr:colOff>
                    <xdr:row>13</xdr:row>
                    <xdr:rowOff>219075</xdr:rowOff>
                  </to>
                </anchor>
              </controlPr>
            </control>
          </mc:Choice>
        </mc:AlternateContent>
        <mc:AlternateContent xmlns:mc="http://schemas.openxmlformats.org/markup-compatibility/2006">
          <mc:Choice Requires="x14">
            <control shapeId="1045" r:id="rId12" name="Drop Down 21">
              <controlPr defaultSize="0" autoLine="0" autoPict="0">
                <anchor moveWithCells="1">
                  <from>
                    <xdr:col>3</xdr:col>
                    <xdr:colOff>47625</xdr:colOff>
                    <xdr:row>18</xdr:row>
                    <xdr:rowOff>0</xdr:rowOff>
                  </from>
                  <to>
                    <xdr:col>3</xdr:col>
                    <xdr:colOff>1390650</xdr:colOff>
                    <xdr:row>19</xdr:row>
                    <xdr:rowOff>9525</xdr:rowOff>
                  </to>
                </anchor>
              </controlPr>
            </control>
          </mc:Choice>
        </mc:AlternateContent>
        <mc:AlternateContent xmlns:mc="http://schemas.openxmlformats.org/markup-compatibility/2006">
          <mc:Choice Requires="x14">
            <control shapeId="1049" r:id="rId13" name="Drop Down 25">
              <controlPr defaultSize="0" autoLine="0" autoPict="0">
                <anchor moveWithCells="1">
                  <from>
                    <xdr:col>3</xdr:col>
                    <xdr:colOff>38100</xdr:colOff>
                    <xdr:row>23</xdr:row>
                    <xdr:rowOff>9525</xdr:rowOff>
                  </from>
                  <to>
                    <xdr:col>3</xdr:col>
                    <xdr:colOff>1390650</xdr:colOff>
                    <xdr:row>24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2">
    <tabColor theme="2" tint="-0.249977111117893"/>
  </sheetPr>
  <dimension ref="A1:T40"/>
  <sheetViews>
    <sheetView zoomScaleNormal="100" workbookViewId="0">
      <selection activeCell="G8" sqref="G8"/>
    </sheetView>
  </sheetViews>
  <sheetFormatPr baseColWidth="10" defaultColWidth="9.140625" defaultRowHeight="15.75" x14ac:dyDescent="0.25"/>
  <cols>
    <col min="2" max="2" width="41.28515625" style="63" customWidth="1"/>
    <col min="3" max="3" width="24.85546875" style="63" customWidth="1"/>
    <col min="4" max="4" width="28.42578125" customWidth="1"/>
    <col min="5" max="6" width="16.42578125" customWidth="1"/>
    <col min="7" max="13" width="9.42578125" customWidth="1"/>
    <col min="15" max="15" width="9.140625" customWidth="1"/>
  </cols>
  <sheetData>
    <row r="1" spans="2:6" ht="21" x14ac:dyDescent="0.35">
      <c r="B1" s="135" t="s">
        <v>82</v>
      </c>
    </row>
    <row r="2" spans="2:6" x14ac:dyDescent="0.25">
      <c r="B2" s="128"/>
      <c r="C2" s="129"/>
      <c r="E2" s="128"/>
      <c r="F2" s="178"/>
    </row>
    <row r="3" spans="2:6" x14ac:dyDescent="0.25">
      <c r="B3" s="180" t="s">
        <v>98</v>
      </c>
      <c r="C3" s="195">
        <v>100000</v>
      </c>
      <c r="D3" s="182"/>
    </row>
    <row r="4" spans="2:6" ht="15" x14ac:dyDescent="0.25">
      <c r="B4" s="179" t="s">
        <v>56</v>
      </c>
      <c r="C4" s="188">
        <v>0.95</v>
      </c>
      <c r="D4" s="183"/>
    </row>
    <row r="5" spans="2:6" x14ac:dyDescent="0.25">
      <c r="B5" s="123" t="s">
        <v>65</v>
      </c>
      <c r="C5" s="132"/>
      <c r="D5" s="133"/>
    </row>
    <row r="6" spans="2:6" x14ac:dyDescent="0.25">
      <c r="B6" s="64"/>
      <c r="C6" s="187" t="s">
        <v>99</v>
      </c>
      <c r="D6" s="170" t="s">
        <v>100</v>
      </c>
    </row>
    <row r="7" spans="2:6" x14ac:dyDescent="0.25">
      <c r="B7" s="131" t="s">
        <v>57</v>
      </c>
      <c r="C7" s="189">
        <v>1E-4</v>
      </c>
      <c r="D7" s="192">
        <f>C7</f>
        <v>1E-4</v>
      </c>
    </row>
    <row r="8" spans="2:6" x14ac:dyDescent="0.25">
      <c r="B8" s="131" t="s">
        <v>66</v>
      </c>
      <c r="C8" s="190">
        <v>1E-3</v>
      </c>
      <c r="D8" s="192">
        <f t="shared" ref="D8:D9" si="0">C8</f>
        <v>1E-3</v>
      </c>
    </row>
    <row r="9" spans="2:6" x14ac:dyDescent="0.25">
      <c r="B9" s="130" t="s">
        <v>67</v>
      </c>
      <c r="C9" s="191">
        <v>0.01</v>
      </c>
      <c r="D9" s="193">
        <f t="shared" si="0"/>
        <v>0.01</v>
      </c>
    </row>
    <row r="10" spans="2:6" ht="15" x14ac:dyDescent="0.25">
      <c r="B10" s="45"/>
      <c r="C10"/>
    </row>
    <row r="11" spans="2:6" ht="15" x14ac:dyDescent="0.25">
      <c r="B11" s="45"/>
      <c r="C11"/>
    </row>
    <row r="12" spans="2:6" x14ac:dyDescent="0.25">
      <c r="B12" s="123" t="str">
        <f>"     Population de "&amp;C3&amp;" animaux"</f>
        <v xml:space="preserve">     Population de 100000 animaux</v>
      </c>
      <c r="C12" s="124"/>
      <c r="D12" s="125"/>
    </row>
    <row r="13" spans="2:6" x14ac:dyDescent="0.25">
      <c r="B13" s="116" t="s">
        <v>63</v>
      </c>
      <c r="C13" s="69"/>
      <c r="D13" s="115"/>
    </row>
    <row r="14" spans="2:6" x14ac:dyDescent="0.25">
      <c r="B14" s="64"/>
      <c r="C14" s="196" t="s">
        <v>62</v>
      </c>
      <c r="D14" s="180" t="s">
        <v>64</v>
      </c>
    </row>
    <row r="15" spans="2:6" x14ac:dyDescent="0.25">
      <c r="B15" s="126" t="s">
        <v>78</v>
      </c>
      <c r="C15" s="181">
        <f>((1-(1-C$4)^(1/(C$3*C7)))*(C$3-0.5*'Choix des indicateurs'!G13*C$3*C7-1))/'Choix des indicateurs'!G13</f>
        <v>25967.270308768362</v>
      </c>
      <c r="D15" s="184">
        <f>C15/C$3</f>
        <v>0.25967270308768364</v>
      </c>
    </row>
    <row r="16" spans="2:6" x14ac:dyDescent="0.25">
      <c r="B16" s="126" t="s">
        <v>79</v>
      </c>
      <c r="C16" s="181">
        <f>((1-(1-C$4)^(1/(C$3*C$8)))*(C$3-0.5*'Choix des indicateurs'!G18*C$3*C$8-1))/'Choix des indicateurs'!G18</f>
        <v>2950.2248400449575</v>
      </c>
      <c r="D16" s="184">
        <f>C16/C$3</f>
        <v>2.9502248400449575E-2</v>
      </c>
    </row>
    <row r="17" spans="1:17" ht="13.5" customHeight="1" x14ac:dyDescent="0.25">
      <c r="B17" s="126" t="s">
        <v>80</v>
      </c>
      <c r="C17" s="181">
        <f>((1-(1-C$4)^(1/(C$3*C$9)))*(C$3-0.5*'Choix des indicateurs'!G23*C$3*C$9-1))/'Choix des indicateurs'!G23</f>
        <v>297.74483771058368</v>
      </c>
      <c r="D17" s="184">
        <f>C17/C$3</f>
        <v>2.9774483771058367E-3</v>
      </c>
    </row>
    <row r="18" spans="1:17" x14ac:dyDescent="0.25">
      <c r="B18" s="127" t="s">
        <v>53</v>
      </c>
      <c r="C18" s="185">
        <f>SUM(C15:C17)</f>
        <v>29215.239986523902</v>
      </c>
      <c r="D18" s="186">
        <f>C18/C$3</f>
        <v>0.292152399865239</v>
      </c>
    </row>
    <row r="21" spans="1:17" x14ac:dyDescent="0.25">
      <c r="E21" s="19"/>
    </row>
    <row r="22" spans="1:17" x14ac:dyDescent="0.25">
      <c r="A22" s="19"/>
      <c r="E22" s="19"/>
      <c r="I22" s="19"/>
      <c r="J22" s="19"/>
      <c r="K22" s="19"/>
      <c r="L22" s="19"/>
      <c r="M22" s="19"/>
      <c r="N22" s="19"/>
      <c r="O22" s="19"/>
      <c r="P22" s="19"/>
      <c r="Q22" s="19"/>
    </row>
    <row r="23" spans="1:17" x14ac:dyDescent="0.25">
      <c r="A23" s="19"/>
      <c r="B23" s="65"/>
      <c r="C23" s="65"/>
      <c r="E23" s="19"/>
      <c r="F23" s="19"/>
      <c r="G23" s="19"/>
      <c r="H23" s="19"/>
      <c r="I23" s="19"/>
      <c r="J23" s="19"/>
      <c r="K23" s="19"/>
      <c r="L23" s="19"/>
      <c r="M23" s="19"/>
      <c r="N23" s="19"/>
      <c r="O23" s="19"/>
      <c r="P23" s="19"/>
      <c r="Q23" s="19"/>
    </row>
    <row r="24" spans="1:17" x14ac:dyDescent="0.25">
      <c r="A24" s="19"/>
      <c r="B24" s="65"/>
      <c r="C24" s="65"/>
      <c r="E24" s="19"/>
      <c r="F24" s="19"/>
      <c r="G24" s="19"/>
      <c r="H24" s="19"/>
      <c r="I24" s="19"/>
      <c r="J24" s="19"/>
      <c r="K24" s="19"/>
      <c r="L24" s="19"/>
      <c r="M24" s="19"/>
      <c r="N24" s="19"/>
      <c r="O24" s="19"/>
      <c r="P24" s="19"/>
      <c r="Q24" s="19"/>
    </row>
    <row r="25" spans="1:17" x14ac:dyDescent="0.25">
      <c r="A25" s="19"/>
      <c r="B25" s="65"/>
      <c r="C25" s="65"/>
      <c r="E25" s="19"/>
      <c r="F25" s="19"/>
      <c r="G25" s="19"/>
      <c r="H25" s="19"/>
      <c r="I25" s="19"/>
      <c r="J25" s="19"/>
      <c r="K25" s="19"/>
      <c r="L25" s="19"/>
      <c r="M25" s="19"/>
      <c r="N25" s="19"/>
      <c r="O25" s="19"/>
      <c r="P25" s="19"/>
      <c r="Q25" s="19"/>
    </row>
    <row r="26" spans="1:17" x14ac:dyDescent="0.25">
      <c r="A26" s="19"/>
      <c r="B26" s="65"/>
      <c r="C26" s="65"/>
      <c r="E26" s="19"/>
      <c r="F26" s="19"/>
      <c r="G26" s="19"/>
      <c r="H26" s="19"/>
      <c r="I26" s="19"/>
      <c r="J26" s="19"/>
      <c r="K26" s="19"/>
      <c r="L26" s="19"/>
      <c r="M26" s="19"/>
      <c r="N26" s="19"/>
      <c r="O26" s="19"/>
      <c r="P26" s="19"/>
      <c r="Q26" s="19"/>
    </row>
    <row r="27" spans="1:17" x14ac:dyDescent="0.25">
      <c r="A27" s="19"/>
      <c r="B27" s="65"/>
      <c r="C27" s="65"/>
      <c r="E27" s="19"/>
      <c r="F27" s="19"/>
      <c r="G27" s="19"/>
      <c r="H27" s="19"/>
      <c r="I27" s="19"/>
      <c r="J27" s="19"/>
      <c r="K27" s="19"/>
      <c r="L27" s="19"/>
      <c r="M27" s="19"/>
      <c r="N27" s="19"/>
      <c r="O27" s="19"/>
      <c r="P27" s="19"/>
      <c r="Q27" s="19"/>
    </row>
    <row r="28" spans="1:17" x14ac:dyDescent="0.25">
      <c r="A28" s="19"/>
      <c r="B28" s="65"/>
      <c r="C28" s="65"/>
      <c r="E28" s="19"/>
      <c r="F28" s="19"/>
      <c r="G28" s="19"/>
      <c r="H28" s="19"/>
      <c r="I28" s="19"/>
      <c r="J28" s="19"/>
      <c r="K28" s="19"/>
      <c r="L28" s="19"/>
      <c r="M28" s="19"/>
      <c r="N28" s="19"/>
      <c r="O28" s="19"/>
      <c r="P28" s="19"/>
      <c r="Q28" s="19"/>
    </row>
    <row r="29" spans="1:17" x14ac:dyDescent="0.25">
      <c r="A29" s="19"/>
      <c r="B29" s="65"/>
      <c r="C29" s="65"/>
      <c r="E29" s="19"/>
      <c r="F29" s="19"/>
      <c r="G29" s="19"/>
      <c r="H29" s="19"/>
      <c r="I29" s="19"/>
      <c r="J29" s="19"/>
      <c r="K29" s="19"/>
      <c r="L29" s="19"/>
      <c r="M29" s="19"/>
      <c r="N29" s="19"/>
      <c r="O29" s="19"/>
      <c r="P29" s="19"/>
      <c r="Q29" s="19"/>
    </row>
    <row r="30" spans="1:17" x14ac:dyDescent="0.25">
      <c r="A30" s="19"/>
      <c r="B30" s="65"/>
      <c r="C30" s="65"/>
      <c r="E30" s="19"/>
      <c r="F30" s="19"/>
      <c r="G30" s="19"/>
      <c r="H30" s="19"/>
      <c r="I30" s="19"/>
      <c r="J30" s="19"/>
      <c r="K30" s="19"/>
      <c r="L30" s="19"/>
      <c r="M30" s="19"/>
      <c r="N30" s="19"/>
      <c r="O30" s="19"/>
      <c r="P30" s="19"/>
      <c r="Q30" s="19"/>
    </row>
    <row r="31" spans="1:17" x14ac:dyDescent="0.25">
      <c r="A31" s="19"/>
      <c r="B31" s="65"/>
      <c r="C31" s="65"/>
      <c r="E31" s="19"/>
      <c r="F31" s="19"/>
      <c r="G31" s="19"/>
      <c r="H31" s="19"/>
      <c r="I31" s="19"/>
      <c r="J31" s="19"/>
      <c r="K31" s="19"/>
      <c r="L31" s="19"/>
      <c r="M31" s="19"/>
      <c r="N31" s="19"/>
      <c r="O31" s="19"/>
      <c r="P31" s="19"/>
      <c r="Q31" s="19"/>
    </row>
    <row r="32" spans="1:17" x14ac:dyDescent="0.25">
      <c r="A32" s="19"/>
      <c r="B32" s="65"/>
      <c r="C32" s="65"/>
      <c r="E32" s="19"/>
      <c r="F32" s="19"/>
      <c r="G32" s="19"/>
      <c r="H32" s="19"/>
      <c r="I32" s="19"/>
      <c r="J32" s="19"/>
      <c r="K32" s="19"/>
      <c r="L32" s="19"/>
      <c r="M32" s="19"/>
      <c r="N32" s="19"/>
      <c r="O32" s="19"/>
      <c r="P32" s="19"/>
      <c r="Q32" s="19"/>
    </row>
    <row r="33" spans="1:20" x14ac:dyDescent="0.25">
      <c r="A33" s="19"/>
      <c r="B33" s="65"/>
      <c r="C33" s="65"/>
      <c r="D33" s="19"/>
      <c r="E33" s="19"/>
      <c r="F33" s="19"/>
      <c r="G33" s="19"/>
      <c r="H33" s="19"/>
      <c r="I33" s="19"/>
      <c r="J33" s="19"/>
      <c r="K33" s="19"/>
      <c r="L33" s="19"/>
      <c r="M33" s="19"/>
      <c r="N33" s="19"/>
      <c r="O33" s="19"/>
      <c r="P33" s="19"/>
      <c r="Q33" s="19"/>
      <c r="R33" s="19"/>
      <c r="S33" s="19"/>
      <c r="T33" s="19"/>
    </row>
    <row r="34" spans="1:20" x14ac:dyDescent="0.25">
      <c r="A34" s="19"/>
      <c r="B34" s="65"/>
      <c r="C34" s="65"/>
      <c r="D34" s="19"/>
      <c r="E34" s="19"/>
      <c r="F34" s="19"/>
      <c r="G34" s="19"/>
      <c r="H34" s="19"/>
      <c r="I34" s="19"/>
      <c r="J34" s="19"/>
      <c r="K34" s="19"/>
      <c r="L34" s="19"/>
      <c r="M34" s="19"/>
      <c r="N34" s="19"/>
      <c r="O34" s="19"/>
      <c r="P34" s="19"/>
      <c r="Q34" s="19"/>
      <c r="R34" s="19"/>
      <c r="S34" s="19"/>
      <c r="T34" s="19"/>
    </row>
    <row r="35" spans="1:20" x14ac:dyDescent="0.25">
      <c r="A35" s="19"/>
      <c r="B35" s="65"/>
      <c r="C35" s="65"/>
      <c r="D35" s="19"/>
      <c r="E35" s="19"/>
      <c r="F35" s="19"/>
      <c r="G35" s="19"/>
      <c r="H35" s="19"/>
      <c r="I35" s="19"/>
      <c r="J35" s="19"/>
      <c r="K35" s="19"/>
      <c r="L35" s="19"/>
      <c r="M35" s="19"/>
      <c r="N35" s="19"/>
      <c r="O35" s="19"/>
      <c r="P35" s="19"/>
      <c r="Q35" s="19"/>
      <c r="R35" s="19"/>
      <c r="S35" s="19"/>
      <c r="T35" s="19"/>
    </row>
    <row r="36" spans="1:20" x14ac:dyDescent="0.25">
      <c r="A36" s="19"/>
      <c r="B36" s="65"/>
      <c r="C36" s="65"/>
      <c r="D36" s="19"/>
      <c r="E36" s="19"/>
      <c r="F36" s="19"/>
      <c r="G36" s="19"/>
      <c r="H36" s="19"/>
      <c r="I36" s="19"/>
      <c r="J36" s="19"/>
      <c r="K36" s="19"/>
      <c r="L36" s="19"/>
      <c r="M36" s="19"/>
      <c r="N36" s="19"/>
      <c r="O36" s="19"/>
      <c r="P36" s="19"/>
      <c r="Q36" s="19"/>
      <c r="R36" s="19"/>
      <c r="S36" s="19"/>
      <c r="T36" s="19"/>
    </row>
    <row r="37" spans="1:20" x14ac:dyDescent="0.25">
      <c r="A37" s="19"/>
      <c r="B37" s="65"/>
      <c r="C37" s="65"/>
      <c r="D37" s="19"/>
      <c r="E37" s="19"/>
      <c r="F37" s="19"/>
      <c r="G37" s="19"/>
      <c r="H37" s="19"/>
      <c r="I37" s="19"/>
      <c r="J37" s="19"/>
      <c r="K37" s="19"/>
      <c r="L37" s="19"/>
      <c r="M37" s="19"/>
      <c r="N37" s="19"/>
      <c r="O37" s="19"/>
      <c r="P37" s="19"/>
      <c r="Q37" s="19"/>
      <c r="R37" s="19"/>
      <c r="S37" s="19"/>
      <c r="T37" s="19"/>
    </row>
    <row r="38" spans="1:20" x14ac:dyDescent="0.25">
      <c r="A38" s="19"/>
      <c r="B38" s="65"/>
      <c r="C38" s="65"/>
      <c r="D38" s="19"/>
      <c r="E38" s="19"/>
      <c r="L38" s="19"/>
      <c r="M38" s="19"/>
      <c r="N38" s="19"/>
      <c r="O38" s="19"/>
      <c r="P38" s="19"/>
      <c r="Q38" s="19"/>
      <c r="R38" s="19"/>
      <c r="S38" s="19"/>
      <c r="T38" s="19"/>
    </row>
    <row r="39" spans="1:20" x14ac:dyDescent="0.25">
      <c r="A39" s="19"/>
      <c r="B39" s="65"/>
      <c r="C39" s="65"/>
      <c r="D39" s="19"/>
    </row>
    <row r="40" spans="1:20" x14ac:dyDescent="0.25">
      <c r="B40" s="65"/>
      <c r="C40" s="65"/>
      <c r="D40" s="19"/>
    </row>
  </sheetData>
  <protectedRanges>
    <protectedRange sqref="C4 C7:C9" name="Autres"/>
    <protectedRange sqref="C3" name="Taille"/>
  </protectedRange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ll3">
    <tabColor theme="5" tint="0.59999389629810485"/>
  </sheetPr>
  <dimension ref="A1:U42"/>
  <sheetViews>
    <sheetView workbookViewId="0">
      <selection activeCell="D30" sqref="D30"/>
    </sheetView>
  </sheetViews>
  <sheetFormatPr baseColWidth="10" defaultColWidth="9.140625" defaultRowHeight="15" x14ac:dyDescent="0.25"/>
  <cols>
    <col min="1" max="1" width="5" customWidth="1"/>
    <col min="2" max="2" width="50.140625" customWidth="1"/>
    <col min="3" max="3" width="12.42578125" customWidth="1"/>
    <col min="4" max="4" width="11.7109375" customWidth="1"/>
    <col min="5" max="5" width="12.7109375" customWidth="1"/>
    <col min="6" max="6" width="8.42578125" customWidth="1"/>
    <col min="8" max="8" width="10.7109375" bestFit="1" customWidth="1"/>
    <col min="10" max="10" width="10.42578125" customWidth="1"/>
    <col min="14" max="14" width="10.85546875" customWidth="1"/>
    <col min="16" max="16" width="9.140625" customWidth="1"/>
  </cols>
  <sheetData>
    <row r="1" spans="1:10" ht="21" x14ac:dyDescent="0.35">
      <c r="B1" s="174" t="s">
        <v>94</v>
      </c>
    </row>
    <row r="3" spans="1:10" x14ac:dyDescent="0.25">
      <c r="B3" s="134" t="s">
        <v>69</v>
      </c>
      <c r="C3" s="173" t="s">
        <v>32</v>
      </c>
      <c r="D3" s="173" t="s">
        <v>73</v>
      </c>
      <c r="E3" s="173" t="s">
        <v>22</v>
      </c>
      <c r="F3" s="21"/>
    </row>
    <row r="4" spans="1:10" x14ac:dyDescent="0.25">
      <c r="B4" s="104" t="s">
        <v>68</v>
      </c>
      <c r="C4" s="167">
        <v>27535</v>
      </c>
      <c r="D4" s="167">
        <v>27177</v>
      </c>
      <c r="E4" s="167">
        <v>27196</v>
      </c>
    </row>
    <row r="5" spans="1:10" x14ac:dyDescent="0.25">
      <c r="A5" s="19"/>
      <c r="B5" s="105" t="s">
        <v>70</v>
      </c>
      <c r="C5" s="168">
        <v>15</v>
      </c>
      <c r="D5" s="168">
        <v>8</v>
      </c>
      <c r="E5" s="168">
        <v>2</v>
      </c>
    </row>
    <row r="6" spans="1:10" x14ac:dyDescent="0.25">
      <c r="A6" s="19"/>
    </row>
    <row r="7" spans="1:10" x14ac:dyDescent="0.25">
      <c r="A7" s="19"/>
      <c r="B7" s="104" t="s">
        <v>71</v>
      </c>
      <c r="C7" s="166">
        <f>'Choix des indicateurs'!G13</f>
        <v>0.99683200000000005</v>
      </c>
      <c r="D7" s="166">
        <f>'Choix des indicateurs'!G18</f>
        <v>0.99985599999999997</v>
      </c>
      <c r="E7" s="166">
        <f>'Choix des indicateurs'!G23</f>
        <v>0.99960400000000005</v>
      </c>
    </row>
    <row r="8" spans="1:10" x14ac:dyDescent="0.25">
      <c r="A8" s="19"/>
      <c r="B8" s="106" t="s">
        <v>72</v>
      </c>
      <c r="C8" s="166">
        <f>'Choix des indicateurs'!G14</f>
        <v>0.98230342942269522</v>
      </c>
      <c r="D8" s="166">
        <f>'Choix des indicateurs'!G19</f>
        <v>0.98871556490709578</v>
      </c>
      <c r="E8" s="166">
        <f>'Choix des indicateurs'!G24</f>
        <v>0.998196553481284</v>
      </c>
    </row>
    <row r="9" spans="1:10" x14ac:dyDescent="0.25">
      <c r="A9" s="19"/>
    </row>
    <row r="10" spans="1:10" x14ac:dyDescent="0.25">
      <c r="A10" s="19"/>
      <c r="B10" s="24" t="s">
        <v>15</v>
      </c>
      <c r="C10" s="169">
        <v>1.96</v>
      </c>
    </row>
    <row r="11" spans="1:10" x14ac:dyDescent="0.25">
      <c r="A11" s="19"/>
    </row>
    <row r="12" spans="1:10" x14ac:dyDescent="0.25">
      <c r="A12" s="19"/>
      <c r="B12" s="19"/>
      <c r="C12" s="170" t="s">
        <v>32</v>
      </c>
      <c r="D12" s="170" t="s">
        <v>73</v>
      </c>
      <c r="E12" s="170" t="s">
        <v>22</v>
      </c>
    </row>
    <row r="13" spans="1:10" ht="15.75" x14ac:dyDescent="0.25">
      <c r="A13" s="19"/>
      <c r="B13" s="164" t="s">
        <v>76</v>
      </c>
      <c r="C13" s="171">
        <f>C5/C4</f>
        <v>5.4476121300163429E-4</v>
      </c>
      <c r="D13" s="171">
        <f>D5/D4</f>
        <v>2.9436655995878871E-4</v>
      </c>
      <c r="E13" s="171">
        <f>E5/E4</f>
        <v>7.3540226503897632E-5</v>
      </c>
    </row>
    <row r="14" spans="1:10" x14ac:dyDescent="0.25">
      <c r="A14" s="19"/>
      <c r="B14" s="165" t="s">
        <v>74</v>
      </c>
      <c r="C14" s="172"/>
      <c r="D14" s="172"/>
      <c r="E14" s="172"/>
    </row>
    <row r="15" spans="1:10" ht="15.75" x14ac:dyDescent="0.25">
      <c r="A15" s="19"/>
      <c r="B15" s="120" t="s">
        <v>81</v>
      </c>
      <c r="C15" s="171">
        <f>IF(C5=0,0,('Formules et données'!AD13-'Formules et données'!AD14)/'Formules et données'!AC12)</f>
        <v>3.3692842138142927E-4</v>
      </c>
      <c r="D15" s="171">
        <f>IF(D5=0,0,('Formules et données'!AF13-'Formules et données'!AF14)/'Formules et données'!AE12)</f>
        <v>1.5839700862168717E-4</v>
      </c>
      <c r="E15" s="171">
        <f>IF(E5=0,0,('Formules et données'!AH13-'Formules et données'!AH14)/'Formules et données'!AG12)</f>
        <v>3.701644293134402E-5</v>
      </c>
    </row>
    <row r="16" spans="1:10" ht="15.75" x14ac:dyDescent="0.25">
      <c r="A16" s="19"/>
      <c r="B16" s="121" t="s">
        <v>75</v>
      </c>
      <c r="C16" s="171">
        <f>('Formules et données'!AD13+'Formules et données'!AD15)/'Formules et données'!AC12</f>
        <v>9.0091137257679408E-4</v>
      </c>
      <c r="D16" s="171">
        <f>('Formules et données'!AF13+'Formules et données'!AF15)/'Formules et données'!AE12</f>
        <v>5.8380366978236209E-4</v>
      </c>
      <c r="E16" s="171">
        <f>('Formules et données'!AH13+'Formules et données'!AH15)/'Formules et données'!AG12</f>
        <v>2.5223124282961926E-4</v>
      </c>
      <c r="J16" s="33"/>
    </row>
    <row r="17" spans="1:21" x14ac:dyDescent="0.25">
      <c r="A17" s="19"/>
      <c r="B17" s="19"/>
      <c r="C17" s="194" t="s">
        <v>102</v>
      </c>
      <c r="D17" s="19"/>
      <c r="E17" s="19"/>
      <c r="F17" s="19"/>
      <c r="G17" s="19"/>
      <c r="J17" s="33"/>
    </row>
    <row r="18" spans="1:21" x14ac:dyDescent="0.25">
      <c r="A18" s="19"/>
      <c r="B18" s="19"/>
      <c r="C18" s="194" t="s">
        <v>101</v>
      </c>
      <c r="D18" s="19"/>
      <c r="E18" s="19"/>
      <c r="F18" s="19"/>
      <c r="G18" s="19"/>
      <c r="J18" s="33"/>
    </row>
    <row r="19" spans="1:21" x14ac:dyDescent="0.25">
      <c r="A19" s="19"/>
      <c r="B19" s="19"/>
      <c r="C19" s="19"/>
      <c r="D19" s="19"/>
      <c r="E19" s="19"/>
      <c r="F19" s="19"/>
      <c r="G19" s="19"/>
      <c r="J19" s="33"/>
    </row>
    <row r="20" spans="1:21" x14ac:dyDescent="0.25">
      <c r="A20" s="19"/>
      <c r="B20" s="19"/>
      <c r="C20" s="19"/>
      <c r="D20" s="19"/>
      <c r="E20" s="19"/>
      <c r="F20" s="19"/>
      <c r="G20" s="19"/>
      <c r="J20" s="33"/>
    </row>
    <row r="21" spans="1:21" x14ac:dyDescent="0.25">
      <c r="A21" s="19"/>
      <c r="B21" s="19"/>
      <c r="C21" s="19"/>
      <c r="D21" s="19"/>
      <c r="E21" s="19"/>
      <c r="F21" s="19"/>
      <c r="G21" s="19"/>
      <c r="J21" s="33"/>
    </row>
    <row r="22" spans="1:21" x14ac:dyDescent="0.25">
      <c r="A22" s="19"/>
      <c r="B22" s="19"/>
      <c r="C22" s="19"/>
      <c r="D22" s="19"/>
      <c r="E22" s="19"/>
      <c r="F22" s="19"/>
      <c r="G22" s="19"/>
      <c r="J22" s="33"/>
    </row>
    <row r="23" spans="1:21" x14ac:dyDescent="0.25">
      <c r="A23" s="19"/>
      <c r="B23" s="19"/>
      <c r="C23" s="19"/>
      <c r="D23" s="19"/>
      <c r="E23" s="19"/>
      <c r="F23" s="19"/>
      <c r="G23" s="19"/>
    </row>
    <row r="24" spans="1:21" x14ac:dyDescent="0.25">
      <c r="A24" s="19"/>
      <c r="B24" s="19"/>
      <c r="C24" s="19"/>
      <c r="D24" s="19"/>
      <c r="E24" s="19"/>
      <c r="F24" s="19"/>
      <c r="G24" s="19"/>
    </row>
    <row r="25" spans="1:21" x14ac:dyDescent="0.25">
      <c r="A25" s="19"/>
    </row>
    <row r="26" spans="1:21" x14ac:dyDescent="0.25">
      <c r="A26" s="19"/>
      <c r="B26" s="19"/>
      <c r="C26" s="19"/>
      <c r="K26" s="19"/>
      <c r="L26" s="19"/>
      <c r="M26" s="19"/>
      <c r="N26" s="19"/>
      <c r="O26" s="19"/>
      <c r="P26" s="19"/>
      <c r="Q26" s="19"/>
      <c r="R26" s="19"/>
      <c r="S26" s="19"/>
      <c r="T26" s="19"/>
      <c r="U26" s="19"/>
    </row>
    <row r="27" spans="1:21" x14ac:dyDescent="0.25">
      <c r="A27" s="19"/>
      <c r="B27" s="19"/>
      <c r="C27" s="19"/>
      <c r="D27" s="19"/>
      <c r="E27" s="19"/>
      <c r="K27" s="19"/>
      <c r="N27" s="19"/>
      <c r="O27" s="19"/>
      <c r="P27" s="19"/>
      <c r="Q27" s="19"/>
      <c r="R27" s="19"/>
      <c r="S27" s="19"/>
      <c r="T27" s="19"/>
      <c r="U27" s="19"/>
    </row>
    <row r="28" spans="1:21" x14ac:dyDescent="0.25">
      <c r="A28" s="19"/>
      <c r="B28" s="19"/>
      <c r="C28" s="19"/>
      <c r="D28" s="19"/>
      <c r="E28" s="19"/>
      <c r="G28" s="19"/>
      <c r="H28" s="19"/>
      <c r="I28" s="19"/>
      <c r="J28" s="19"/>
      <c r="K28" s="19"/>
      <c r="L28" s="19"/>
      <c r="M28" s="19"/>
      <c r="N28" s="19"/>
      <c r="O28" s="19"/>
      <c r="P28" s="19"/>
      <c r="Q28" s="19"/>
      <c r="R28" s="19"/>
      <c r="S28" s="19"/>
      <c r="T28" s="19"/>
      <c r="U28" s="19"/>
    </row>
    <row r="29" spans="1:21" x14ac:dyDescent="0.25">
      <c r="A29" s="19"/>
      <c r="B29" s="19"/>
      <c r="C29" s="19"/>
      <c r="D29" s="19"/>
      <c r="E29" s="19"/>
      <c r="G29" s="19"/>
      <c r="H29" s="19"/>
      <c r="I29" s="19"/>
      <c r="J29" s="19"/>
      <c r="K29" s="19"/>
      <c r="L29" s="19"/>
      <c r="M29" s="19"/>
      <c r="N29" s="19"/>
      <c r="O29" s="19"/>
      <c r="P29" s="19"/>
      <c r="Q29" s="19"/>
      <c r="R29" s="19"/>
      <c r="S29" s="19"/>
      <c r="T29" s="19"/>
      <c r="U29" s="19"/>
    </row>
    <row r="30" spans="1:21" x14ac:dyDescent="0.25">
      <c r="A30" s="19"/>
      <c r="B30" s="19"/>
      <c r="C30" s="19"/>
      <c r="D30" s="19"/>
      <c r="E30" s="19"/>
      <c r="G30" s="19"/>
      <c r="H30" s="19"/>
      <c r="I30" s="19"/>
      <c r="J30" s="19"/>
      <c r="K30" s="19"/>
      <c r="L30" s="19"/>
      <c r="M30" s="19"/>
      <c r="N30" s="19"/>
      <c r="O30" s="19"/>
      <c r="P30" s="19"/>
      <c r="Q30" s="19"/>
      <c r="R30" s="19"/>
      <c r="S30" s="19"/>
      <c r="T30" s="19"/>
      <c r="U30" s="19"/>
    </row>
    <row r="31" spans="1:21" x14ac:dyDescent="0.25">
      <c r="A31" s="19"/>
      <c r="B31" s="19"/>
      <c r="C31" s="19"/>
      <c r="D31" s="19"/>
      <c r="E31" s="19"/>
      <c r="G31" s="19"/>
      <c r="H31" s="19"/>
      <c r="I31" s="19"/>
      <c r="J31" s="19"/>
      <c r="K31" s="19"/>
      <c r="L31" s="19"/>
      <c r="M31" s="19"/>
      <c r="N31" s="19"/>
      <c r="O31" s="19"/>
      <c r="P31" s="19"/>
      <c r="Q31" s="19"/>
      <c r="R31" s="19"/>
      <c r="S31" s="19"/>
      <c r="T31" s="19"/>
      <c r="U31" s="19"/>
    </row>
    <row r="32" spans="1:21" x14ac:dyDescent="0.25">
      <c r="A32" s="19"/>
      <c r="B32" s="19"/>
      <c r="C32" s="19"/>
      <c r="D32" s="19"/>
      <c r="E32" s="19"/>
      <c r="G32" s="19"/>
      <c r="H32" s="19"/>
      <c r="I32" s="19"/>
      <c r="J32" s="19"/>
      <c r="K32" s="19"/>
      <c r="L32" s="19"/>
      <c r="M32" s="19"/>
      <c r="N32" s="19"/>
      <c r="O32" s="19"/>
      <c r="P32" s="19"/>
      <c r="Q32" s="19"/>
      <c r="R32" s="19"/>
      <c r="S32" s="19"/>
      <c r="T32" s="19"/>
      <c r="U32" s="19"/>
    </row>
    <row r="33" spans="1:21" x14ac:dyDescent="0.25">
      <c r="A33" s="19"/>
      <c r="B33" s="19"/>
      <c r="C33" s="19"/>
      <c r="D33" s="19"/>
      <c r="E33" s="19"/>
      <c r="G33" s="19"/>
      <c r="H33" s="19"/>
      <c r="I33" s="19"/>
      <c r="J33" s="19"/>
      <c r="K33" s="19"/>
      <c r="L33" s="19"/>
      <c r="M33" s="19"/>
      <c r="N33" s="19"/>
      <c r="O33" s="19"/>
      <c r="P33" s="19"/>
      <c r="Q33" s="19"/>
      <c r="R33" s="19"/>
      <c r="S33" s="19"/>
      <c r="T33" s="19"/>
      <c r="U33" s="19"/>
    </row>
    <row r="34" spans="1:21" x14ac:dyDescent="0.25">
      <c r="A34" s="19"/>
      <c r="B34" s="19"/>
      <c r="C34" s="19"/>
      <c r="D34" s="19"/>
      <c r="E34" s="19"/>
      <c r="G34" s="19"/>
      <c r="H34" s="19"/>
      <c r="I34" s="19"/>
      <c r="J34" s="19"/>
      <c r="K34" s="19"/>
      <c r="L34" s="19"/>
      <c r="M34" s="19"/>
      <c r="N34" s="19"/>
      <c r="O34" s="19"/>
      <c r="P34" s="19"/>
      <c r="Q34" s="19"/>
      <c r="R34" s="19"/>
      <c r="S34" s="19"/>
      <c r="T34" s="19"/>
      <c r="U34" s="19"/>
    </row>
    <row r="35" spans="1:21" x14ac:dyDescent="0.25">
      <c r="A35" s="19"/>
      <c r="B35" s="19"/>
      <c r="C35" s="19"/>
      <c r="D35" s="19"/>
      <c r="E35" s="19"/>
      <c r="F35" s="19"/>
      <c r="G35" s="19"/>
      <c r="H35" s="19"/>
      <c r="I35" s="19"/>
      <c r="J35" s="19"/>
      <c r="K35" s="19"/>
      <c r="L35" s="19"/>
      <c r="M35" s="19"/>
      <c r="N35" s="19"/>
      <c r="O35" s="19"/>
      <c r="P35" s="19"/>
      <c r="Q35" s="19"/>
      <c r="R35" s="19"/>
      <c r="S35" s="19"/>
      <c r="T35" s="19"/>
      <c r="U35" s="19"/>
    </row>
    <row r="36" spans="1:21" x14ac:dyDescent="0.25">
      <c r="A36" s="19"/>
      <c r="B36" s="19"/>
      <c r="C36" s="19"/>
      <c r="D36" s="19"/>
      <c r="E36" s="19"/>
      <c r="F36" s="19"/>
      <c r="G36" s="19"/>
      <c r="H36" s="19"/>
      <c r="I36" s="19"/>
      <c r="J36" s="19"/>
      <c r="K36" s="19"/>
      <c r="L36" s="19"/>
      <c r="M36" s="19"/>
      <c r="N36" s="19"/>
      <c r="O36" s="19"/>
      <c r="P36" s="19"/>
      <c r="Q36" s="19"/>
      <c r="R36" s="19"/>
      <c r="S36" s="19"/>
      <c r="T36" s="19"/>
      <c r="U36" s="19"/>
    </row>
    <row r="37" spans="1:21" x14ac:dyDescent="0.25">
      <c r="A37" s="19"/>
      <c r="B37" s="19"/>
      <c r="C37" s="19"/>
      <c r="D37" s="19"/>
      <c r="E37" s="19"/>
      <c r="F37" s="19"/>
      <c r="G37" s="19"/>
      <c r="H37" s="19"/>
      <c r="I37" s="19"/>
      <c r="J37" s="19"/>
      <c r="K37" s="19"/>
      <c r="L37" s="19"/>
      <c r="M37" s="19"/>
      <c r="N37" s="19"/>
      <c r="O37" s="19"/>
      <c r="P37" s="19"/>
      <c r="Q37" s="19"/>
      <c r="R37" s="19"/>
      <c r="S37" s="19"/>
      <c r="T37" s="19"/>
      <c r="U37" s="19"/>
    </row>
    <row r="38" spans="1:21" x14ac:dyDescent="0.25">
      <c r="A38" s="19"/>
      <c r="B38" s="19"/>
      <c r="C38" s="19"/>
      <c r="D38" s="19"/>
      <c r="E38" s="19"/>
      <c r="F38" s="19"/>
      <c r="G38" s="19"/>
      <c r="H38" s="19"/>
      <c r="I38" s="19"/>
      <c r="J38" s="19"/>
      <c r="K38" s="19"/>
      <c r="L38" s="19"/>
      <c r="M38" s="19"/>
      <c r="N38" s="19"/>
      <c r="O38" s="19"/>
      <c r="P38" s="19"/>
      <c r="Q38" s="19"/>
      <c r="R38" s="19"/>
      <c r="S38" s="19"/>
      <c r="T38" s="19"/>
      <c r="U38" s="19"/>
    </row>
    <row r="39" spans="1:21" x14ac:dyDescent="0.25">
      <c r="A39" s="19"/>
      <c r="B39" s="19"/>
      <c r="C39" s="19"/>
      <c r="D39" s="19"/>
      <c r="E39" s="19"/>
      <c r="F39" s="19"/>
      <c r="G39" s="19"/>
      <c r="H39" s="19"/>
      <c r="I39" s="19"/>
      <c r="J39" s="19"/>
      <c r="K39" s="19"/>
      <c r="L39" s="19"/>
      <c r="M39" s="19"/>
      <c r="N39" s="19"/>
      <c r="O39" s="19"/>
      <c r="P39" s="19"/>
      <c r="Q39" s="19"/>
      <c r="R39" s="19"/>
      <c r="S39" s="19"/>
      <c r="T39" s="19"/>
      <c r="U39" s="19"/>
    </row>
    <row r="40" spans="1:21" x14ac:dyDescent="0.25">
      <c r="A40" s="19"/>
      <c r="B40" s="19"/>
      <c r="C40" s="19"/>
      <c r="D40" s="19"/>
      <c r="E40" s="19"/>
      <c r="F40" s="19"/>
      <c r="G40" s="19"/>
      <c r="H40" s="19"/>
      <c r="I40" s="19"/>
      <c r="J40" s="19"/>
      <c r="K40" s="19"/>
      <c r="L40" s="19"/>
      <c r="M40" s="19"/>
      <c r="N40" s="19"/>
      <c r="O40" s="19"/>
      <c r="P40" s="19"/>
      <c r="Q40" s="19"/>
      <c r="R40" s="19"/>
      <c r="S40" s="19"/>
      <c r="T40" s="19"/>
      <c r="U40" s="19"/>
    </row>
    <row r="41" spans="1:21" x14ac:dyDescent="0.25">
      <c r="A41" s="19"/>
      <c r="B41" s="19"/>
      <c r="C41" s="19"/>
      <c r="D41" s="19"/>
      <c r="E41" s="19"/>
      <c r="F41" s="19"/>
      <c r="G41" s="19"/>
      <c r="H41" s="19"/>
      <c r="I41" s="19"/>
      <c r="J41" s="19"/>
      <c r="K41" s="19"/>
      <c r="L41" s="19"/>
      <c r="M41" s="19"/>
      <c r="N41" s="19"/>
      <c r="O41" s="19"/>
      <c r="P41" s="19"/>
      <c r="Q41" s="19"/>
      <c r="R41" s="19"/>
      <c r="S41" s="19"/>
      <c r="T41" s="19"/>
      <c r="U41" s="19"/>
    </row>
    <row r="42" spans="1:21" x14ac:dyDescent="0.25">
      <c r="A42" s="19"/>
      <c r="D42" s="19"/>
      <c r="E42" s="19"/>
      <c r="F42" s="19"/>
      <c r="G42" s="19"/>
      <c r="H42" s="19"/>
      <c r="I42" s="19"/>
      <c r="J42" s="19"/>
      <c r="K42" s="19"/>
      <c r="L42" s="19"/>
      <c r="M42" s="19"/>
      <c r="N42" s="19"/>
      <c r="O42" s="19"/>
      <c r="P42" s="19"/>
      <c r="Q42" s="19"/>
      <c r="R42" s="19"/>
      <c r="S42" s="19"/>
      <c r="T42" s="19"/>
      <c r="U42" s="19"/>
    </row>
  </sheetData>
  <protectedRanges>
    <protectedRange sqref="C10" name="z"/>
    <protectedRange sqref="C4:E5" name="Resultats"/>
  </protectedRange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6" operator="greaterThan" id="{892CE147-B920-4538-9472-3588F3AEB538}">
            <xm:f>'Taille des échantillons'!$C$7</xm:f>
            <x14:dxf>
              <font>
                <color rgb="FF9C0006"/>
              </font>
              <fill>
                <patternFill>
                  <bgColor rgb="FFFFC7CE"/>
                </patternFill>
              </fill>
            </x14:dxf>
          </x14:cfRule>
          <xm:sqref>C13</xm:sqref>
        </x14:conditionalFormatting>
        <x14:conditionalFormatting xmlns:xm="http://schemas.microsoft.com/office/excel/2006/main">
          <x14:cfRule type="cellIs" priority="5" operator="greaterThan" id="{10BDCC0B-E8C2-499E-B3C4-E554AFC5770B}">
            <xm:f>'Taille des échantillons'!$C$7</xm:f>
            <x14:dxf>
              <font>
                <color rgb="FF9C0006"/>
              </font>
              <fill>
                <patternFill>
                  <bgColor rgb="FFFFC7CE"/>
                </patternFill>
              </fill>
            </x14:dxf>
          </x14:cfRule>
          <xm:sqref>C15:C16</xm:sqref>
        </x14:conditionalFormatting>
        <x14:conditionalFormatting xmlns:xm="http://schemas.microsoft.com/office/excel/2006/main">
          <x14:cfRule type="cellIs" priority="4" operator="greaterThan" id="{B18E4264-E25F-40B8-886A-A65A90CFF37C}">
            <xm:f>'Taille des échantillons'!$C$8</xm:f>
            <x14:dxf>
              <font>
                <color rgb="FF9C0006"/>
              </font>
              <fill>
                <patternFill>
                  <bgColor rgb="FFFFC7CE"/>
                </patternFill>
              </fill>
            </x14:dxf>
          </x14:cfRule>
          <xm:sqref>D13</xm:sqref>
        </x14:conditionalFormatting>
        <x14:conditionalFormatting xmlns:xm="http://schemas.microsoft.com/office/excel/2006/main">
          <x14:cfRule type="cellIs" priority="3" operator="greaterThan" id="{80320E53-05AB-48E3-B3E4-ABFB942672BC}">
            <xm:f>'Taille des échantillons'!$C$9</xm:f>
            <x14:dxf>
              <font>
                <color rgb="FF9C0006"/>
              </font>
              <fill>
                <patternFill>
                  <bgColor rgb="FFFFC7CE"/>
                </patternFill>
              </fill>
            </x14:dxf>
          </x14:cfRule>
          <xm:sqref>E13</xm:sqref>
        </x14:conditionalFormatting>
        <x14:conditionalFormatting xmlns:xm="http://schemas.microsoft.com/office/excel/2006/main">
          <x14:cfRule type="cellIs" priority="2" operator="greaterThan" id="{D3F3575A-3DA0-43F0-A4F5-336BC28D7C28}">
            <xm:f>'Taille des échantillons'!$C$8</xm:f>
            <x14:dxf>
              <font>
                <color rgb="FF9C0006"/>
              </font>
              <fill>
                <patternFill>
                  <bgColor rgb="FFFFC7CE"/>
                </patternFill>
              </fill>
            </x14:dxf>
          </x14:cfRule>
          <xm:sqref>D15:D16</xm:sqref>
        </x14:conditionalFormatting>
        <x14:conditionalFormatting xmlns:xm="http://schemas.microsoft.com/office/excel/2006/main">
          <x14:cfRule type="cellIs" priority="1" operator="greaterThan" id="{78498B73-EED6-4F1B-AFB2-A8AAAA6C34B8}">
            <xm:f>'Taille des échantillons'!$C$9</xm:f>
            <x14:dxf>
              <font>
                <color rgb="FF9C0006"/>
              </font>
              <fill>
                <patternFill>
                  <bgColor rgb="FFFFC7CE"/>
                </patternFill>
              </fill>
            </x14:dxf>
          </x14:cfRule>
          <xm:sqref>E15:E16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ull4"/>
  <dimension ref="A1:AH35"/>
  <sheetViews>
    <sheetView topLeftCell="V1" workbookViewId="0">
      <selection activeCell="AG14" sqref="AG14"/>
    </sheetView>
  </sheetViews>
  <sheetFormatPr baseColWidth="10" defaultColWidth="8.7109375" defaultRowHeight="15" customHeight="1" x14ac:dyDescent="0.25"/>
  <cols>
    <col min="2" max="2" width="24.5703125" customWidth="1"/>
    <col min="3" max="3" width="5.5703125" customWidth="1"/>
    <col min="4" max="4" width="7.140625" customWidth="1"/>
    <col min="5" max="5" width="25.28515625" bestFit="1" customWidth="1"/>
    <col min="6" max="6" width="5.5703125" customWidth="1"/>
    <col min="7" max="7" width="7.140625" customWidth="1"/>
    <col min="8" max="8" width="25.28515625" bestFit="1" customWidth="1"/>
    <col min="9" max="9" width="5.140625" customWidth="1"/>
    <col min="10" max="10" width="7.140625" customWidth="1"/>
    <col min="11" max="11" width="9.140625" bestFit="1" customWidth="1"/>
  </cols>
  <sheetData>
    <row r="1" spans="2:34" ht="15" customHeight="1" x14ac:dyDescent="0.4">
      <c r="B1" s="75"/>
      <c r="G1" s="75"/>
      <c r="H1" s="75"/>
      <c r="I1" s="75"/>
      <c r="J1" s="75"/>
      <c r="K1" s="75"/>
      <c r="L1" s="75"/>
      <c r="M1" s="75"/>
      <c r="N1" s="75"/>
      <c r="O1" s="75"/>
      <c r="P1" s="75"/>
    </row>
    <row r="2" spans="2:34" ht="15" customHeight="1" x14ac:dyDescent="0.4">
      <c r="F2" s="58" t="s">
        <v>48</v>
      </c>
      <c r="K2" s="75"/>
      <c r="L2" s="75"/>
      <c r="M2" s="75"/>
      <c r="N2" s="75"/>
      <c r="O2" s="75"/>
      <c r="AA2" s="66" t="s">
        <v>50</v>
      </c>
    </row>
    <row r="3" spans="2:34" ht="15" customHeight="1" x14ac:dyDescent="0.4">
      <c r="B3" t="s">
        <v>29</v>
      </c>
      <c r="F3" s="107" t="s">
        <v>54</v>
      </c>
      <c r="K3" s="75"/>
      <c r="L3" s="75"/>
      <c r="M3" s="75"/>
      <c r="N3" s="75"/>
      <c r="O3" s="75"/>
      <c r="AA3" s="4" t="s">
        <v>6</v>
      </c>
      <c r="AB3" s="5"/>
      <c r="AC3" s="5"/>
      <c r="AD3" s="6"/>
    </row>
    <row r="4" spans="2:34" ht="15" customHeight="1" x14ac:dyDescent="0.4">
      <c r="B4" s="26" t="s">
        <v>17</v>
      </c>
      <c r="C4" s="27" t="s">
        <v>1</v>
      </c>
      <c r="D4" s="28" t="s">
        <v>2</v>
      </c>
      <c r="E4" s="27" t="s">
        <v>21</v>
      </c>
      <c r="F4" s="27" t="s">
        <v>1</v>
      </c>
      <c r="G4" s="27" t="s">
        <v>2</v>
      </c>
      <c r="H4" s="26" t="s">
        <v>22</v>
      </c>
      <c r="I4" s="27" t="s">
        <v>1</v>
      </c>
      <c r="J4" s="28" t="s">
        <v>2</v>
      </c>
      <c r="K4" s="75"/>
      <c r="L4" s="75"/>
      <c r="M4" s="75"/>
      <c r="N4" s="75"/>
      <c r="O4" s="75"/>
      <c r="Q4" s="21" t="s">
        <v>0</v>
      </c>
      <c r="R4" s="22"/>
      <c r="S4" s="22"/>
      <c r="T4" s="22"/>
      <c r="U4" s="22"/>
      <c r="V4" s="22"/>
      <c r="W4" s="22"/>
      <c r="X4" s="22"/>
      <c r="Y4" s="22"/>
      <c r="AA4" s="7" t="s">
        <v>13</v>
      </c>
      <c r="AB4" s="15"/>
      <c r="AC4" s="15"/>
      <c r="AD4" s="16"/>
    </row>
    <row r="5" spans="2:34" ht="15" customHeight="1" x14ac:dyDescent="0.4">
      <c r="B5" s="76" t="s">
        <v>58</v>
      </c>
      <c r="C5" s="70">
        <v>0.76</v>
      </c>
      <c r="D5" s="73">
        <v>0.98598838677101741</v>
      </c>
      <c r="E5" s="80" t="s">
        <v>58</v>
      </c>
      <c r="F5" s="70">
        <v>0.76</v>
      </c>
      <c r="G5" s="72">
        <v>0.99924822005041347</v>
      </c>
      <c r="H5" s="76" t="s">
        <v>58</v>
      </c>
      <c r="I5" s="70">
        <v>0.76</v>
      </c>
      <c r="J5" s="73">
        <v>0.99970000000000003</v>
      </c>
      <c r="K5" s="75"/>
      <c r="L5" s="75"/>
      <c r="M5" s="75"/>
      <c r="N5" s="75"/>
      <c r="O5" s="75"/>
      <c r="Q5" s="21"/>
      <c r="R5" s="22"/>
      <c r="S5" s="22"/>
      <c r="T5" s="22"/>
      <c r="U5" s="22"/>
      <c r="V5" s="22"/>
      <c r="W5" s="22"/>
      <c r="X5" s="22"/>
      <c r="Y5" s="22"/>
      <c r="AA5" s="17" t="e">
        <f>'Taille des échantillons'!C7*'Taille des échantillons'!#REF!+(1-'Taille des échantillons'!C7)*(1-'Taille des échantillons'!#REF!)</f>
        <v>#REF!</v>
      </c>
      <c r="AB5" s="14" t="e">
        <f>'Taille des échantillons'!#REF!</f>
        <v>#REF!</v>
      </c>
      <c r="AC5" s="14"/>
      <c r="AD5" s="9" t="e">
        <f>2*'Taille des échantillons'!C13*AA5+'Taille des échantillons'!C4^2</f>
        <v>#REF!</v>
      </c>
    </row>
    <row r="6" spans="2:34" ht="15" customHeight="1" x14ac:dyDescent="0.4">
      <c r="B6" s="76" t="s">
        <v>18</v>
      </c>
      <c r="C6" s="70">
        <v>0.94</v>
      </c>
      <c r="D6" s="73">
        <v>0.99643281807372175</v>
      </c>
      <c r="E6" s="80" t="s">
        <v>18</v>
      </c>
      <c r="F6" s="70">
        <v>0.94</v>
      </c>
      <c r="G6" s="72">
        <v>0.99857700000000005</v>
      </c>
      <c r="H6" s="76" t="s">
        <v>18</v>
      </c>
      <c r="I6" s="70">
        <v>0.94</v>
      </c>
      <c r="J6" s="79">
        <v>0.99857700000000005</v>
      </c>
      <c r="K6" s="75"/>
      <c r="L6" s="75"/>
      <c r="M6" s="75"/>
      <c r="N6" s="75"/>
      <c r="O6" s="75"/>
      <c r="Q6" s="21"/>
      <c r="R6" t="s">
        <v>37</v>
      </c>
      <c r="S6" s="3"/>
      <c r="T6" s="3"/>
      <c r="U6" s="22"/>
      <c r="V6" s="22"/>
      <c r="W6" s="22"/>
      <c r="X6" s="22"/>
      <c r="Y6" s="22"/>
      <c r="AA6" s="17" t="s">
        <v>8</v>
      </c>
      <c r="AB6" s="14">
        <v>1.96</v>
      </c>
      <c r="AC6" s="15"/>
      <c r="AD6" s="9" t="e">
        <f>'Taille des échantillons'!C4*(('Taille des échantillons'!C4^2)-(1/'Taille des échantillons'!C13)+(4*'Taille des échantillons'!C13*AA5*(1-AA5))+(4*AA5-2)-1)^0.5</f>
        <v>#DIV/0!</v>
      </c>
      <c r="AH6">
        <f>('Formules et données'!AF13-'Formules et données'!AF14)/'Formules et données'!AE12</f>
        <v>1.5839700862168717E-4</v>
      </c>
    </row>
    <row r="7" spans="2:34" ht="15" customHeight="1" x14ac:dyDescent="0.4">
      <c r="B7" s="76" t="s">
        <v>35</v>
      </c>
      <c r="C7" s="70">
        <v>0.78</v>
      </c>
      <c r="D7" s="73">
        <v>0.9998292495517801</v>
      </c>
      <c r="E7" s="80" t="s">
        <v>52</v>
      </c>
      <c r="F7" s="70">
        <v>0.94</v>
      </c>
      <c r="G7" s="72">
        <v>0.99784128747527001</v>
      </c>
      <c r="H7" s="76" t="s">
        <v>52</v>
      </c>
      <c r="I7" s="70">
        <v>0.94</v>
      </c>
      <c r="J7" s="73">
        <v>0.99961901133441278</v>
      </c>
      <c r="K7" s="75"/>
      <c r="L7" s="75"/>
      <c r="M7" s="75"/>
      <c r="N7" s="75"/>
      <c r="O7" s="75"/>
      <c r="S7" s="3"/>
      <c r="T7" s="3"/>
      <c r="AA7" s="17" t="s">
        <v>9</v>
      </c>
      <c r="AB7" s="14">
        <f>AB6*AB6</f>
        <v>3.8415999999999997</v>
      </c>
      <c r="AC7" s="14"/>
      <c r="AD7" s="9" t="e">
        <f>'Taille des échantillons'!C4*(('Taille des échantillons'!C4^2)-(1/'Taille des échantillons'!C13)+(4*'Taille des échantillons'!C13*AA5*(1-AA5))-(4*AA5-2)-1)^0.5</f>
        <v>#DIV/0!</v>
      </c>
    </row>
    <row r="8" spans="2:34" ht="15" customHeight="1" x14ac:dyDescent="0.4">
      <c r="B8" s="77" t="s">
        <v>16</v>
      </c>
      <c r="C8" s="71">
        <v>0.89</v>
      </c>
      <c r="D8" s="74">
        <v>0.99892999999999998</v>
      </c>
      <c r="E8" s="77" t="s">
        <v>16</v>
      </c>
      <c r="F8" s="71">
        <v>0.99</v>
      </c>
      <c r="G8" s="74">
        <v>0.99160000000000004</v>
      </c>
      <c r="H8" s="77" t="s">
        <v>16</v>
      </c>
      <c r="I8" s="71">
        <v>0.89</v>
      </c>
      <c r="J8" s="74">
        <v>0.99950000000000006</v>
      </c>
      <c r="K8" s="75"/>
      <c r="L8" s="75"/>
      <c r="M8" s="75"/>
      <c r="N8" s="75"/>
      <c r="O8" s="75"/>
      <c r="AA8" s="2"/>
      <c r="AB8" s="18"/>
      <c r="AC8" s="18"/>
      <c r="AD8" s="13">
        <f>2*('Taille des échantillons'!C13+'Taille des échantillons'!C4^2)</f>
        <v>1.8049999999999999</v>
      </c>
    </row>
    <row r="9" spans="2:34" ht="15" customHeight="1" x14ac:dyDescent="0.4">
      <c r="K9" s="75"/>
      <c r="L9" s="75"/>
      <c r="M9" s="75"/>
      <c r="N9" s="75"/>
      <c r="O9" s="75"/>
    </row>
    <row r="10" spans="2:34" ht="15" customHeight="1" x14ac:dyDescent="0.4">
      <c r="K10" s="75"/>
      <c r="L10" s="75"/>
      <c r="M10" s="75"/>
      <c r="N10" s="75"/>
      <c r="O10" s="75"/>
      <c r="AA10" s="4" t="s">
        <v>6</v>
      </c>
      <c r="AB10" s="5"/>
      <c r="AC10" s="5"/>
      <c r="AD10" s="5"/>
      <c r="AE10" s="4"/>
      <c r="AF10" s="30"/>
      <c r="AG10" s="29"/>
      <c r="AH10" s="30"/>
    </row>
    <row r="11" spans="2:34" ht="15" customHeight="1" x14ac:dyDescent="0.4">
      <c r="K11" s="75"/>
      <c r="L11" s="75"/>
      <c r="M11" s="75"/>
      <c r="N11" s="75"/>
      <c r="O11" s="75"/>
      <c r="AA11" s="7" t="s">
        <v>13</v>
      </c>
      <c r="AB11" s="8"/>
      <c r="AC11" s="8" t="s">
        <v>10</v>
      </c>
      <c r="AD11" s="8" t="s">
        <v>11</v>
      </c>
      <c r="AE11" s="7" t="s">
        <v>10</v>
      </c>
      <c r="AF11" s="9" t="s">
        <v>11</v>
      </c>
      <c r="AG11" s="8" t="s">
        <v>10</v>
      </c>
      <c r="AH11" s="9" t="s">
        <v>11</v>
      </c>
    </row>
    <row r="12" spans="2:34" ht="15" customHeight="1" x14ac:dyDescent="0.4">
      <c r="B12" t="s">
        <v>31</v>
      </c>
      <c r="D12" s="44"/>
      <c r="K12" s="75"/>
      <c r="L12" s="75"/>
      <c r="M12" s="75"/>
      <c r="N12" s="75"/>
      <c r="O12" s="75"/>
      <c r="AA12" s="20"/>
      <c r="AB12" s="15"/>
      <c r="AC12" s="8">
        <f>2*('Résultats de l''échantillonnage'!C4+'Résultats de l''échantillonnage'!C10^2)</f>
        <v>55077.683199999999</v>
      </c>
      <c r="AD12" s="15"/>
      <c r="AE12" s="7">
        <f>2*('Résultats de l''échantillonnage'!D4+'Résultats de l''échantillonnage'!C10^2)</f>
        <v>54361.683199999999</v>
      </c>
      <c r="AF12" s="16"/>
      <c r="AG12" s="8">
        <f>2*('Résultats de l''échantillonnage'!E4+'Résultats de l''échantillonnage'!C10^2)</f>
        <v>54399.683199999999</v>
      </c>
      <c r="AH12" s="16"/>
    </row>
    <row r="13" spans="2:34" ht="15" customHeight="1" x14ac:dyDescent="0.4">
      <c r="B13" s="26" t="s">
        <v>17</v>
      </c>
      <c r="C13" s="27" t="s">
        <v>1</v>
      </c>
      <c r="D13" s="46"/>
      <c r="E13" s="26" t="s">
        <v>21</v>
      </c>
      <c r="F13" s="27" t="s">
        <v>1</v>
      </c>
      <c r="G13" s="28" t="s">
        <v>2</v>
      </c>
      <c r="H13" s="26" t="s">
        <v>22</v>
      </c>
      <c r="I13" s="27" t="s">
        <v>1</v>
      </c>
      <c r="J13" s="28" t="s">
        <v>2</v>
      </c>
      <c r="K13" s="75"/>
      <c r="L13" s="75"/>
      <c r="M13" s="75"/>
      <c r="N13" s="75"/>
      <c r="O13" s="75"/>
      <c r="R13" t="s">
        <v>26</v>
      </c>
      <c r="AA13" s="7"/>
      <c r="AB13" s="15"/>
      <c r="AC13" s="10">
        <f>2*'Résultats de l''échantillonnage'!C4*AC18+'Résultats de l''échantillonnage'!C10^2</f>
        <v>-960.83612823733711</v>
      </c>
      <c r="AD13" s="8">
        <f>2*'Résultats de l''échantillonnage'!C4*'Résultats de l''échantillonnage'!C13+'Résultats de l''échantillonnage'!C10^2</f>
        <v>33.8416</v>
      </c>
      <c r="AE13" s="32">
        <f>2*'Résultats de l''échantillonnage'!D4*AE18+'Résultats de l''échantillonnage'!C10^2</f>
        <v>-962.19370904455548</v>
      </c>
      <c r="AF13" s="9">
        <f>2*'Résultats de l''échantillonnage'!D4*'Résultats de l''échantillonnage'!D13+'Résultats de l''échantillonnage'!C10^2</f>
        <v>19.8416</v>
      </c>
      <c r="AG13" s="10">
        <f>2*'Résultats de l''échantillonnage'!E4*AG18+'Résultats de l''échantillonnage'!C10^2</f>
        <v>-975.1362186312108</v>
      </c>
      <c r="AH13" s="9">
        <f>2*'Résultats de l''échantillonnage'!E4*'Résultats de l''échantillonnage'!E13+'Résultats de l''échantillonnage'!C10^2</f>
        <v>7.8415999999999997</v>
      </c>
    </row>
    <row r="14" spans="2:34" ht="15" customHeight="1" x14ac:dyDescent="0.4">
      <c r="B14" s="76" t="s">
        <v>58</v>
      </c>
      <c r="C14" s="70">
        <v>0.82</v>
      </c>
      <c r="D14" s="70">
        <v>1</v>
      </c>
      <c r="E14" s="76" t="s">
        <v>58</v>
      </c>
      <c r="F14" s="70">
        <v>0.82</v>
      </c>
      <c r="G14" s="70">
        <v>1</v>
      </c>
      <c r="H14" s="76" t="s">
        <v>58</v>
      </c>
      <c r="I14" s="70">
        <v>0.82</v>
      </c>
      <c r="J14" s="78">
        <v>0.99976577520565979</v>
      </c>
      <c r="K14" s="75"/>
      <c r="L14" s="75"/>
      <c r="M14" s="75"/>
      <c r="N14" s="75"/>
      <c r="O14" s="75"/>
      <c r="S14" s="3"/>
      <c r="AA14" s="17"/>
      <c r="AB14" s="15"/>
      <c r="AC14" s="8" t="e">
        <f>'Résultats de l''échantillonnage'!C10*(('Résultats de l''échantillonnage'!C10^2)-(1/'Résultats de l''échantillonnage'!C4)+(4*'Résultats de l''échantillonnage'!C4*'Résultats de l''échantillonnage'!C18*(1-'Résultats de l''échantillonnage'!C18))+(4*'Résultats de l''échantillonnage'!C18-2)-1)^0.5</f>
        <v>#VALUE!</v>
      </c>
      <c r="AD14" s="8">
        <f>'Résultats de l''échantillonnage'!C10*(('Résultats de l''échantillonnage'!C10^2)-(1/'Résultats de l''échantillonnage'!C4)+(4*'Résultats de l''échantillonnage'!C4*'Résultats de l''échantillonnage'!C13*(1-'Résultats de l''échantillonnage'!C13))+(4*'Résultats de l''échantillonnage'!C13-2)-1)^0.5</f>
        <v>15.284363146077531</v>
      </c>
      <c r="AE14" s="7">
        <f>'Résultats de l''échantillonnage'!C10*(('Résultats de l''échantillonnage'!C10^2)-(1/'Résultats de l''échantillonnage'!D4)+(4*'Résultats de l''échantillonnage'!D4*'Résultats de l''échantillonnage'!D18*(1-'Résultats de l''échantillonnage'!D18))+(4*'Résultats de l''échantillonnage'!D18-2)-1)^0.5</f>
        <v>1.7980403791844906</v>
      </c>
      <c r="AF14" s="9">
        <f>'Résultats de l''échantillonnage'!C10*(('Résultats de l''échantillonnage'!C10^2)-(1/'Résultats de l''échantillonnage'!E4)+(4*'Résultats de l''échantillonnage'!D4*'Résultats de l''échantillonnage'!D13*(1-'Résultats de l''échantillonnage'!D13))+(4*'Résultats de l''échantillonnage'!D13-2)-1)^0.5</f>
        <v>11.230871997480174</v>
      </c>
      <c r="AG14" s="8">
        <f>'Résultats de l''échantillonnage'!C10*(('Résultats de l''échantillonnage'!C10^2)-(1/'Résultats de l''échantillonnage'!E4)+(4*'Résultats de l''échantillonnage'!E4*'Résultats de l''échantillonnage'!E18*(1-'Résultats de l''échantillonnage'!E18))+(4*'Résultats de l''échantillonnage'!E18-2)-1)^0.5</f>
        <v>1.7980404066463385</v>
      </c>
      <c r="AH14" s="9">
        <f>'Résultats de l''échantillonnage'!C10*(('Résultats de l''échantillonnage'!C10^2)-(1/'Résultats de l''échantillonnage'!E4)+(4*'Résultats de l''échantillonnage'!E4*'Résultats de l''échantillonnage'!E13*(1-'Résultats de l''échantillonnage'!E13))+(4*'Résultats de l''échantillonnage'!E13-2)-1)^0.5</f>
        <v>5.8279172313440055</v>
      </c>
    </row>
    <row r="15" spans="2:34" ht="15" customHeight="1" x14ac:dyDescent="0.4">
      <c r="B15" s="76" t="s">
        <v>25</v>
      </c>
      <c r="C15" s="70">
        <v>0.75</v>
      </c>
      <c r="D15" s="109">
        <v>0.99</v>
      </c>
      <c r="E15" s="76" t="s">
        <v>25</v>
      </c>
      <c r="F15" s="70">
        <v>0.75</v>
      </c>
      <c r="G15" s="109">
        <v>0.99</v>
      </c>
      <c r="H15" s="76" t="s">
        <v>25</v>
      </c>
      <c r="I15" s="70">
        <v>0.75</v>
      </c>
      <c r="J15" s="109">
        <v>0.99</v>
      </c>
      <c r="K15" s="75"/>
      <c r="L15" s="75"/>
      <c r="M15" s="75"/>
      <c r="N15" s="75"/>
      <c r="O15" s="75"/>
      <c r="R15" s="3" t="s">
        <v>3</v>
      </c>
      <c r="S15" s="3"/>
      <c r="T15" s="3"/>
      <c r="AA15" s="17"/>
      <c r="AB15" s="15"/>
      <c r="AC15" s="8" t="e">
        <f>'Résultats de l''échantillonnage'!C10*(('Résultats de l''échantillonnage'!C10^2)-(1/'Résultats de l''échantillonnage'!C4)+(4*'Résultats de l''échantillonnage'!C4*'Résultats de l''échantillonnage'!C18*(1-'Résultats de l''échantillonnage'!C18))-(4*'Résultats de l''échantillonnage'!C18-2)-1)^0.5</f>
        <v>#VALUE!</v>
      </c>
      <c r="AD15" s="8">
        <f>'Résultats de l''échantillonnage'!C10*(('Résultats de l''échantillonnage'!C10^2)-(1/'Résultats de l''échantillonnage'!C4)+(4*'Résultats de l''échantillonnage'!C4*'Résultats de l''échantillonnage'!C13*(1-'Résultats de l''échantillonnage'!C13))-(4*'Résultats de l''échantillonnage'!C13-2)-1)^0.5</f>
        <v>15.778511170061835</v>
      </c>
      <c r="AE15" s="7">
        <f>'Résultats de l''échantillonnage'!C10*(('Résultats de l''échantillonnage'!C10^2)-(1/'Résultats de l''échantillonnage'!D4)+(4*'Résultats de l''échantillonnage'!D4*'Résultats de l''échantillonnage'!D18*(1-'Résultats de l''échantillonnage'!D18))-(4*'Résultats de l''échantillonnage'!D18-2)-1)^0.5</f>
        <v>4.3126962801915356</v>
      </c>
      <c r="AF15" s="9">
        <f>'Résultats de l''échantillonnage'!C10*(('Résultats de l''échantillonnage'!C10^2)-(1/'Résultats de l''échantillonnage'!D4)+(4*'Résultats de l''échantillonnage'!D4*'Résultats de l''échantillonnage'!D13*(1-'Résultats de l''échantillonnage'!D13))-(4*'Résultats de l''échantillonnage'!D13-2)-1)^0.5</f>
        <v>11.894950147706181</v>
      </c>
      <c r="AG15" s="8">
        <f>'Résultats de l''échantillonnage'!C10*(('Résultats de l''échantillonnage'!C10^2)-(1/'Résultats de l''échantillonnage'!E4)+(4*'Résultats de l''échantillonnage'!E4*'Résultats de l''échantillonnage'!E18*(1-'Résultats de l''échantillonnage'!E18))-(4*'Résultats de l''échantillonnage'!E18-2)-1)^0.5</f>
        <v>4.3126962916408722</v>
      </c>
      <c r="AH15" s="9">
        <f>'Résultats de l''échantillonnage'!C10*(('Résultats de l''échantillonnage'!E10^2)-(1/'Résultats de l''échantillonnage'!E4)+(4*'Résultats de l''échantillonnage'!E4*'Résultats de l''échantillonnage'!E13*(1-'Résultats de l''échantillonnage'!E13))-(4*'Résultats de l''échantillonnage'!E13-2)-1)^0.5</f>
        <v>5.879699703073558</v>
      </c>
    </row>
    <row r="16" spans="2:34" ht="15" customHeight="1" x14ac:dyDescent="0.4">
      <c r="B16" s="76" t="s">
        <v>18</v>
      </c>
      <c r="C16" s="70">
        <v>0.87</v>
      </c>
      <c r="D16" s="70">
        <v>1</v>
      </c>
      <c r="E16" s="76" t="s">
        <v>18</v>
      </c>
      <c r="F16" s="70">
        <v>0.87</v>
      </c>
      <c r="G16" s="72">
        <v>0.99980000000000002</v>
      </c>
      <c r="H16" s="76" t="s">
        <v>18</v>
      </c>
      <c r="I16" s="70">
        <v>0.87</v>
      </c>
      <c r="J16" s="79">
        <v>0.99980000000000002</v>
      </c>
      <c r="K16" s="75"/>
      <c r="L16" s="75"/>
      <c r="M16" s="75"/>
      <c r="N16" s="75"/>
      <c r="O16" s="75"/>
      <c r="R16" s="23" t="s">
        <v>12</v>
      </c>
      <c r="S16" s="3"/>
      <c r="T16" s="3"/>
      <c r="AA16" s="7"/>
      <c r="AB16" s="15"/>
      <c r="AC16" s="8"/>
      <c r="AD16" s="8"/>
      <c r="AE16" s="7"/>
      <c r="AF16" s="9"/>
      <c r="AG16" s="8"/>
      <c r="AH16" s="9"/>
    </row>
    <row r="17" spans="1:34" ht="15" customHeight="1" x14ac:dyDescent="0.4">
      <c r="B17" s="76" t="s">
        <v>52</v>
      </c>
      <c r="C17" s="70">
        <v>0.99</v>
      </c>
      <c r="D17" s="79">
        <f>J17</f>
        <v>0.99976577520565979</v>
      </c>
      <c r="E17" s="76" t="s">
        <v>52</v>
      </c>
      <c r="F17" s="70">
        <v>0.99</v>
      </c>
      <c r="G17" s="79">
        <f>J17</f>
        <v>0.99976577520565979</v>
      </c>
      <c r="H17" s="76" t="s">
        <v>52</v>
      </c>
      <c r="I17" s="70">
        <v>0.99</v>
      </c>
      <c r="J17" s="73">
        <v>0.99976577520565979</v>
      </c>
      <c r="K17" s="75"/>
      <c r="L17" s="75"/>
      <c r="M17" s="75"/>
      <c r="N17" s="75"/>
      <c r="O17" s="75"/>
      <c r="T17" s="3"/>
      <c r="AA17" s="7" t="s">
        <v>7</v>
      </c>
      <c r="AB17" s="8"/>
      <c r="AC17" s="8"/>
      <c r="AD17" s="8" t="b">
        <f>ISERROR(AC20)</f>
        <v>1</v>
      </c>
      <c r="AE17" s="7"/>
      <c r="AF17" s="9" t="b">
        <f>ISERROR(AE20)</f>
        <v>0</v>
      </c>
      <c r="AG17" s="8"/>
      <c r="AH17" s="9"/>
    </row>
    <row r="18" spans="1:34" ht="15" customHeight="1" x14ac:dyDescent="0.4">
      <c r="B18" s="77" t="s">
        <v>16</v>
      </c>
      <c r="C18" s="71">
        <v>0.97</v>
      </c>
      <c r="D18" s="71">
        <v>1</v>
      </c>
      <c r="E18" s="77" t="s">
        <v>16</v>
      </c>
      <c r="F18" s="71">
        <v>0.97</v>
      </c>
      <c r="G18" s="71">
        <v>1</v>
      </c>
      <c r="H18" s="77" t="s">
        <v>16</v>
      </c>
      <c r="I18" s="71">
        <v>0.97</v>
      </c>
      <c r="J18" s="108">
        <v>1</v>
      </c>
      <c r="K18" s="75"/>
      <c r="L18" s="75"/>
      <c r="M18" s="75"/>
      <c r="N18" s="75"/>
      <c r="O18" s="75"/>
      <c r="AA18" s="7" t="s">
        <v>14</v>
      </c>
      <c r="AB18" s="8"/>
      <c r="AC18" s="8">
        <f>('Résultats de l''échantillonnage'!C13+'Résultats de l''échantillonnage'!C8-1)/('Résultats de l''échantillonnage'!C7+'Résultats de l''échantillonnage'!C8-1)</f>
        <v>-1.7517300313007755E-2</v>
      </c>
      <c r="AD18" s="8"/>
      <c r="AE18" s="7">
        <f>('Résultats de l''échantillonnage'!D13+'Résultats de l''échantillonnage'!C8-1)/('Résultats de l''échantillonnage'!C7+'Résultats de l''échantillonnage'!C8-1)</f>
        <v>-1.7773030670135692E-2</v>
      </c>
      <c r="AF18" s="9"/>
      <c r="AG18" s="8">
        <f>('Résultats de l''échantillonnage'!E13+'Résultats de l''échantillonnage'!C8-1)/('Résultats de l''échantillonnage'!C7+'Résultats de l''échantillonnage'!C8-1)</f>
        <v>-1.7998562631107714E-2</v>
      </c>
      <c r="AH18" s="9"/>
    </row>
    <row r="19" spans="1:34" ht="15" customHeight="1" x14ac:dyDescent="0.4">
      <c r="K19" s="75"/>
      <c r="L19" s="75"/>
      <c r="M19" s="75"/>
      <c r="N19" s="75"/>
      <c r="O19" s="75"/>
      <c r="AA19" s="7" t="s">
        <v>4</v>
      </c>
      <c r="AB19" s="8"/>
      <c r="AC19" s="8" t="e">
        <f>(AC13-AC14)/AC12</f>
        <v>#VALUE!</v>
      </c>
      <c r="AD19" s="8">
        <f>IF(AD17=FALSE,AC20,0)</f>
        <v>0</v>
      </c>
      <c r="AE19" s="7">
        <f>(AE13-AE14)/AE12</f>
        <v>-1.7732926809443238E-2</v>
      </c>
      <c r="AF19" s="9">
        <f>IF(AF17=FALSE,AE20,0)</f>
        <v>-1.7620517915905222E-2</v>
      </c>
      <c r="AG19" s="8">
        <f>(AG13-AG14)/AG12</f>
        <v>-1.7958454931551092E-2</v>
      </c>
      <c r="AH19" s="9"/>
    </row>
    <row r="20" spans="1:34" ht="15" customHeight="1" x14ac:dyDescent="0.4">
      <c r="K20" s="75"/>
      <c r="L20" s="75"/>
      <c r="M20" s="75"/>
      <c r="N20" s="75"/>
      <c r="O20" s="75"/>
      <c r="AA20" s="11" t="s">
        <v>5</v>
      </c>
      <c r="AB20" s="12"/>
      <c r="AC20" s="12" t="e">
        <f>(AC13+AC15)/AC12</f>
        <v>#VALUE!</v>
      </c>
      <c r="AD20" s="12"/>
      <c r="AE20" s="11">
        <f>(AE13+AE15)/AE12</f>
        <v>-1.7620517915905222E-2</v>
      </c>
      <c r="AF20" s="13"/>
      <c r="AG20" s="12">
        <f>(AG13+AG15)/AG12</f>
        <v>-1.7846124558673349E-2</v>
      </c>
      <c r="AH20" s="13"/>
    </row>
    <row r="21" spans="1:34" ht="15" customHeight="1" x14ac:dyDescent="0.4">
      <c r="A21" s="1"/>
      <c r="B21" s="29"/>
      <c r="C21" s="29"/>
      <c r="D21" s="29"/>
      <c r="E21" s="29"/>
      <c r="F21" s="29"/>
      <c r="G21" s="29"/>
      <c r="H21" s="30"/>
      <c r="K21" s="75"/>
      <c r="L21" s="75"/>
      <c r="M21" s="75"/>
      <c r="N21" s="75"/>
      <c r="O21" s="75"/>
    </row>
    <row r="22" spans="1:34" ht="15" customHeight="1" x14ac:dyDescent="0.4">
      <c r="A22" s="20"/>
      <c r="B22" s="25" t="s">
        <v>27</v>
      </c>
      <c r="C22" s="15" t="s">
        <v>34</v>
      </c>
      <c r="D22" s="25" t="s">
        <v>44</v>
      </c>
      <c r="E22" s="15"/>
      <c r="F22" s="15"/>
      <c r="G22" s="15"/>
      <c r="H22" s="16"/>
      <c r="K22" s="75"/>
      <c r="L22" s="75"/>
      <c r="M22" s="75"/>
      <c r="N22" s="75"/>
      <c r="O22" s="75"/>
    </row>
    <row r="23" spans="1:34" ht="15" customHeight="1" x14ac:dyDescent="0.25">
      <c r="A23" s="20"/>
      <c r="B23" s="15" t="s">
        <v>28</v>
      </c>
      <c r="C23" s="15" t="s">
        <v>34</v>
      </c>
      <c r="D23" s="15" t="s">
        <v>33</v>
      </c>
      <c r="E23" s="15"/>
      <c r="F23" s="15"/>
      <c r="G23" s="15"/>
      <c r="H23" s="16"/>
      <c r="T23" t="s">
        <v>36</v>
      </c>
    </row>
    <row r="24" spans="1:34" ht="15" customHeight="1" x14ac:dyDescent="0.25">
      <c r="A24" s="2"/>
      <c r="B24" s="18"/>
      <c r="C24" s="18"/>
      <c r="D24" s="18"/>
      <c r="E24" s="18"/>
      <c r="F24" s="18"/>
      <c r="G24" s="18"/>
      <c r="H24" s="31"/>
    </row>
    <row r="27" spans="1:34" ht="15" customHeight="1" x14ac:dyDescent="0.25">
      <c r="B27" t="s">
        <v>49</v>
      </c>
    </row>
    <row r="28" spans="1:34" ht="15" customHeight="1" x14ac:dyDescent="0.25">
      <c r="B28" s="34" t="str">
        <f>IF(Introduction!$I$5=1,B3,B12)</f>
        <v>Etourdissement électrique</v>
      </c>
      <c r="C28" s="35"/>
      <c r="D28" s="35"/>
      <c r="E28" s="35"/>
      <c r="F28" s="35"/>
      <c r="G28" s="35"/>
      <c r="H28" s="35"/>
      <c r="I28" s="35"/>
      <c r="J28" s="35"/>
      <c r="L28" s="34"/>
      <c r="M28" s="40" t="s">
        <v>41</v>
      </c>
      <c r="N28" s="40"/>
      <c r="O28" s="40" t="s">
        <v>42</v>
      </c>
      <c r="P28" s="40"/>
      <c r="Q28" s="40" t="s">
        <v>43</v>
      </c>
      <c r="R28" s="41"/>
    </row>
    <row r="29" spans="1:34" ht="15" customHeight="1" x14ac:dyDescent="0.25">
      <c r="B29" s="36" t="s">
        <v>17</v>
      </c>
      <c r="C29" s="47" t="s">
        <v>1</v>
      </c>
      <c r="D29" s="48" t="s">
        <v>2</v>
      </c>
      <c r="E29" s="37" t="s">
        <v>21</v>
      </c>
      <c r="F29" s="47" t="s">
        <v>1</v>
      </c>
      <c r="G29" s="47" t="s">
        <v>2</v>
      </c>
      <c r="H29" s="36" t="s">
        <v>22</v>
      </c>
      <c r="I29" s="47" t="s">
        <v>1</v>
      </c>
      <c r="J29" s="48" t="s">
        <v>2</v>
      </c>
      <c r="L29" s="39"/>
      <c r="M29" s="49" t="s">
        <v>1</v>
      </c>
      <c r="N29" s="102" t="s">
        <v>2</v>
      </c>
      <c r="O29" s="49" t="s">
        <v>1</v>
      </c>
      <c r="P29" s="102" t="s">
        <v>2</v>
      </c>
      <c r="Q29" s="49" t="s">
        <v>1</v>
      </c>
      <c r="R29" s="103" t="s">
        <v>2</v>
      </c>
    </row>
    <row r="30" spans="1:34" ht="15" customHeight="1" x14ac:dyDescent="0.25">
      <c r="B30" s="39" t="s">
        <v>39</v>
      </c>
      <c r="C30" s="49"/>
      <c r="D30" s="50"/>
      <c r="E30" s="35" t="s">
        <v>39</v>
      </c>
      <c r="F30" s="57"/>
      <c r="G30" s="57"/>
      <c r="H30" s="39" t="s">
        <v>39</v>
      </c>
      <c r="I30" s="49"/>
      <c r="J30" s="50"/>
      <c r="L30" s="38" t="s">
        <v>17</v>
      </c>
      <c r="M30" s="42"/>
      <c r="N30" s="42"/>
      <c r="O30" s="42"/>
      <c r="P30" s="42"/>
      <c r="Q30" s="42"/>
      <c r="R30" s="43"/>
    </row>
    <row r="31" spans="1:34" ht="15" customHeight="1" x14ac:dyDescent="0.25">
      <c r="B31" s="34" t="str">
        <f>IF(Introduction!$I$5=1,B5,B14)</f>
        <v>Battement d'ailes</v>
      </c>
      <c r="C31" s="51">
        <f>IF(Introduction!$I$5=1,C5,C14)</f>
        <v>0.76</v>
      </c>
      <c r="D31" s="51">
        <f>IF(Introduction!$I$5=1,D5,D14)</f>
        <v>0.98598838677101741</v>
      </c>
      <c r="E31" s="34" t="str">
        <f>IF(Introduction!$I$5=1,E5,E14)</f>
        <v>Battement d'ailes</v>
      </c>
      <c r="F31" s="51">
        <f>IF(Introduction!$I$5=1,F5,F14)</f>
        <v>0.76</v>
      </c>
      <c r="G31" s="51">
        <f>IF(Introduction!$I$5=1,G5,G14)</f>
        <v>0.99924822005041347</v>
      </c>
      <c r="H31" s="34" t="str">
        <f>IF(Introduction!$I$5=1,H5,H14)</f>
        <v>Battement d'ailes</v>
      </c>
      <c r="I31" s="51">
        <f>IF(Introduction!$I$5=1,I5,I14)</f>
        <v>0.76</v>
      </c>
      <c r="J31" s="52">
        <f>IF(Introduction!$I$5=1,J5,J14)</f>
        <v>0.99970000000000003</v>
      </c>
      <c r="L31" s="38"/>
      <c r="M31" s="98">
        <f>IF(Introduction!H7=1,C31,IF(Introduction!H7=2,C32,IF(Introduction!H7=3,C33,IF(Introduction!H7=4,C34,C35))))</f>
        <v>0.76</v>
      </c>
      <c r="N31" s="99">
        <f>IF(Introduction!H7=1,D31,IF(Introduction!H7=2,D32,IF(Introduction!H7=3,D33,IF(Introduction!H7=4,D34,D35))))</f>
        <v>0.98598838677101741</v>
      </c>
      <c r="O31" s="99">
        <f>IF(Introduction!J7=2,C31,IF(Introduction!J7=3,C32,IF(Introduction!J7=4,C33,IF(Introduction!J7=5,C34,C35))))</f>
        <v>0.78</v>
      </c>
      <c r="P31" s="99">
        <f>IF(Introduction!J7=2,D31,IF(Introduction!J7=3,D32,IF(Introduction!J7=4,D33,IF(Introduction!J7=5,D34,D35))))</f>
        <v>0.9998292495517801</v>
      </c>
      <c r="Q31" s="99">
        <f>IF(Introduction!L7=2,$C31,IF(Introduction!L7=3,$C32,IF(Introduction!L7=4,$C33,IF(Introduction!L7=5,$C34,$C35))))</f>
        <v>0.94</v>
      </c>
      <c r="R31" s="100">
        <f>IF(Introduction!L7=2,$D31,IF(Introduction!L7=3,$D32,IF(Introduction!L7=4,$D33,IF(Introduction!L7=5,$D34,$D35))))</f>
        <v>0.99643281807372175</v>
      </c>
    </row>
    <row r="32" spans="1:34" ht="15" customHeight="1" x14ac:dyDescent="0.25">
      <c r="B32" s="38" t="str">
        <f>IF(Introduction!$I$5=1,B6,B15)</f>
        <v>Clignement spontané</v>
      </c>
      <c r="C32" s="53">
        <f>IF(Introduction!$I$5=1,C6,C15)</f>
        <v>0.94</v>
      </c>
      <c r="D32" s="53">
        <f>IF(Introduction!$I$5=1,D6,D15)</f>
        <v>0.99643281807372175</v>
      </c>
      <c r="E32" s="38" t="str">
        <f>IF(Introduction!$I$5=1,E6,E15)</f>
        <v>Clignement spontané</v>
      </c>
      <c r="F32" s="53">
        <f>IF(Introduction!$I$5=1,F6,F15)</f>
        <v>0.94</v>
      </c>
      <c r="G32" s="53">
        <f>IF(Introduction!$I$5=1,G6,G15)</f>
        <v>0.99857700000000005</v>
      </c>
      <c r="H32" s="38" t="str">
        <f>IF(Introduction!$I$5=1,H6,H15)</f>
        <v>Clignement spontané</v>
      </c>
      <c r="I32" s="53">
        <f>IF(Introduction!$I$5=1,I6,I15)</f>
        <v>0.94</v>
      </c>
      <c r="J32" s="54">
        <f>IF(Introduction!$I$5=1,J6,J15)</f>
        <v>0.99857700000000005</v>
      </c>
      <c r="L32" s="34" t="s">
        <v>21</v>
      </c>
      <c r="M32" s="40"/>
      <c r="N32" s="61"/>
      <c r="O32" s="61"/>
      <c r="P32" s="61"/>
      <c r="Q32" s="61"/>
      <c r="R32" s="62"/>
    </row>
    <row r="33" spans="2:18" ht="15" customHeight="1" x14ac:dyDescent="0.25">
      <c r="B33" s="38" t="str">
        <f>IF(Introduction!$I$5=1,B7,B16)</f>
        <v>Absence phase tonique</v>
      </c>
      <c r="C33" s="53">
        <f>IF(Introduction!$I$5=1,C7,C16)</f>
        <v>0.78</v>
      </c>
      <c r="D33" s="53">
        <f>IF(Introduction!$I$5=1,D7,D16)</f>
        <v>0.9998292495517801</v>
      </c>
      <c r="E33" s="38" t="str">
        <f>IF(Introduction!$I$5=1,E7,E16)</f>
        <v>Réflexe oculaire</v>
      </c>
      <c r="F33" s="53">
        <f>IF(Introduction!$I$5=1,F7,F16)</f>
        <v>0.94</v>
      </c>
      <c r="G33" s="53">
        <f>IF(Introduction!$I$5=1,G7,G16)</f>
        <v>0.99784128747527001</v>
      </c>
      <c r="H33" s="38" t="str">
        <f>IF(Introduction!$I$5=1,H7,H16)</f>
        <v>Réflexe oculaire</v>
      </c>
      <c r="I33" s="53">
        <f>IF(Introduction!$I$5=1,I7,I16)</f>
        <v>0.94</v>
      </c>
      <c r="J33" s="54">
        <f>IF(Introduction!$I$5=1,J7,J16)</f>
        <v>0.99961901133441278</v>
      </c>
      <c r="L33" s="39"/>
      <c r="M33" s="101">
        <f>IF(Introduction!H9=1,F31,IF(Introduction!H9=2,F32,IF(Introduction!H9=3,F33,IF(Introduction!H9=4,F34,F35))))</f>
        <v>0.76</v>
      </c>
      <c r="N33" s="59">
        <f>IF(Introduction!H9=1,G31,IF(Introduction!H9=2,G32,IF(Introduction!H9=3,G33,IF(Introduction!H9=4,G34,G35))))</f>
        <v>0.99924822005041347</v>
      </c>
      <c r="O33" s="59">
        <f>IF(Introduction!J9=2,F31,IF(Introduction!J9=3,F32,IF(Introduction!J9=4,F33,IF(Introduction!J9=5,F34,IF(Introduction!J9=6,F35,F36)))))</f>
        <v>0.94</v>
      </c>
      <c r="P33" s="59">
        <f>IF(Introduction!J9=2,G31,IF(Introduction!J9=3,G32,IF(Introduction!J9=4,G33,IF(Introduction!J9=5,G34,IF(Introduction!J9=6,G35,G36)))))</f>
        <v>0.99784128747527001</v>
      </c>
      <c r="Q33" s="59">
        <f>IF(Introduction!L9=2,F31,IF(Introduction!L9=3,F32,IF(Introduction!L9=4,F33,IF(Introduction!L9=5,F34,IF(Introduction!L9=6,F35,F36)))))</f>
        <v>0.99</v>
      </c>
      <c r="R33" s="60">
        <f>IF(Introduction!L9=2,G31,IF(Introduction!L9=3,G32,IF(Introduction!L9=4,G33,IF(Introduction!L9=5,G34,IF(Introduction!L9=6,G35,G36)))))</f>
        <v>0.99160000000000004</v>
      </c>
    </row>
    <row r="34" spans="2:18" ht="15" customHeight="1" x14ac:dyDescent="0.25">
      <c r="B34" s="38" t="str">
        <f>IF(Introduction!$I$5=1,B8,B17)</f>
        <v>Respiration</v>
      </c>
      <c r="C34" s="53">
        <f>IF(Introduction!$I$5=1,C8,C17)</f>
        <v>0.89</v>
      </c>
      <c r="D34" s="53">
        <f>IF(Introduction!$I$5=1,D8,D17)</f>
        <v>0.99892999999999998</v>
      </c>
      <c r="E34" s="38" t="str">
        <f>IF(Introduction!$I$5=1,E8,E17)</f>
        <v>Respiration</v>
      </c>
      <c r="F34" s="53">
        <f>IF(Introduction!$I$5=1,F8,F17)</f>
        <v>0.99</v>
      </c>
      <c r="G34" s="53">
        <f>IF(Introduction!$I$5=1,G8,G17)</f>
        <v>0.99160000000000004</v>
      </c>
      <c r="H34" s="38" t="str">
        <f>IF(Introduction!$I$5=1,H8,H17)</f>
        <v>Respiration</v>
      </c>
      <c r="I34" s="53">
        <f>IF(Introduction!$I$5=1,I8,I17)</f>
        <v>0.89</v>
      </c>
      <c r="J34" s="54">
        <f>IF(Introduction!$I$5=1,J8,J17)</f>
        <v>0.99950000000000006</v>
      </c>
      <c r="L34" s="38" t="s">
        <v>22</v>
      </c>
      <c r="M34" s="42"/>
      <c r="N34" s="99"/>
      <c r="O34" s="99"/>
      <c r="P34" s="99"/>
      <c r="Q34" s="99"/>
      <c r="R34" s="100"/>
    </row>
    <row r="35" spans="2:18" ht="15" customHeight="1" x14ac:dyDescent="0.25">
      <c r="B35" s="39" t="str">
        <f>IF(Introduction!$I$5=1,"",B18)</f>
        <v/>
      </c>
      <c r="C35" s="55">
        <f>IF(Introduction!$I$5=1,C9,C18)</f>
        <v>0</v>
      </c>
      <c r="D35" s="55">
        <f>IF(Introduction!$I$5=1,1,D18)</f>
        <v>1</v>
      </c>
      <c r="E35" s="39">
        <f>IF(Introduction!$I$5=1,E9,E18)</f>
        <v>0</v>
      </c>
      <c r="F35" s="55">
        <f>IF(Introduction!$I$5=1,F9,F18)</f>
        <v>0</v>
      </c>
      <c r="G35" s="55">
        <f>IF(Introduction!$I$5=1,1,G18)</f>
        <v>1</v>
      </c>
      <c r="H35" s="39" t="str">
        <f>IF(Introduction!$I$5=1,"",H18)</f>
        <v/>
      </c>
      <c r="I35" s="55">
        <f>IF(Introduction!$I$5=1,I9,I18)</f>
        <v>0</v>
      </c>
      <c r="J35" s="56">
        <f>IF(Introduction!$I$5=1,1,J18)</f>
        <v>1</v>
      </c>
      <c r="L35" s="39"/>
      <c r="M35" s="101">
        <f>IF(Introduction!H10=1,I31,IF(Introduction!H10=2,I32,IF(Introduction!H10=3,I33,IF(Introduction!H10=4,I34,I35))))</f>
        <v>0.94</v>
      </c>
      <c r="N35" s="59">
        <f>IF(Introduction!H10=1,J31,IF(Introduction!H10=2,J32,IF(Introduction!H10=3,J33,IF(Introduction!H10=4,J34,J35))))</f>
        <v>0.99857700000000005</v>
      </c>
      <c r="O35" s="59">
        <f>IF(Introduction!J10=2,I31,IF(Introduction!J10=3,I32,IF(Introduction!J10=4,I33,IF(Introduction!J10=5,I34,I35))))</f>
        <v>0.94</v>
      </c>
      <c r="P35" s="59">
        <f>IF(Introduction!J10=2,J31,IF(Introduction!J10=3,J32,IF(Introduction!J10=4,J33,IF(Introduction!J10=5,J34,J35))))</f>
        <v>0.99961901133441278</v>
      </c>
      <c r="Q35" s="59">
        <f>IF(Introduction!L10=2,I31,IF(Introduction!L10=3,I32,IF(Introduction!L10=4,I33,IF(Introduction!L10=5,I34,I35))))</f>
        <v>0.89</v>
      </c>
      <c r="R35" s="59">
        <f>IF(Introduction!M10=2,J31,IF(Introduction!M10=3,J32,IF(Introduction!M10=4,J33,IF(Introduction!M10=5,J34,J35))))</f>
        <v>1</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A r g o G u i d   x m l n s : x s i = " h t t p : / / w w w . w 3 . o r g / 2 0 0 1 / X M L S c h e m a - i n s t a n c e "   x m l n s : x s d = " h t t p : / / w w w . w 3 . o r g / 2 0 0 1 / X M L S c h e m a "   x m l n s = " h t t p : / / w w w . b o o z a l l e n . c o m / a r g o / g u i d " > 6 9 3 3 b 8 9 5 - 2 1 9 3 - 4 5 a 9 - 9 7 d 5 - a e 3 0 d f 4 c d a 1 8 < / A r g o G u i d > 
</file>

<file path=customXml/item4.xml><?xml version="1.0" encoding="utf-8"?>
<ct:contentTypeSchema xmlns:ct="http://schemas.microsoft.com/office/2006/metadata/contentType" xmlns:ma="http://schemas.microsoft.com/office/2006/metadata/properties/metaAttributes" ct:_="" ma:_="" ma:contentTypeName="Documento" ma:contentTypeID="0x010100B032FB512632054CB512777EECDF64F7" ma:contentTypeVersion="12" ma:contentTypeDescription="Crear nuevo documento." ma:contentTypeScope="" ma:versionID="4ba05a1ac12fe44bb2506a53876f3d74">
  <xsd:schema xmlns:xsd="http://www.w3.org/2001/XMLSchema" xmlns:xs="http://www.w3.org/2001/XMLSchema" xmlns:p="http://schemas.microsoft.com/office/2006/metadata/properties" xmlns:ns3="1c38fdb4-1747-4dca-af8f-c7007eb06d70" xmlns:ns4="6e42b2f1-9ab2-4267-92c0-eb149fc9e547" targetNamespace="http://schemas.microsoft.com/office/2006/metadata/properties" ma:root="true" ma:fieldsID="44ccd27a0563c78ff13a28f323a2b2b8" ns3:_="" ns4:_="">
    <xsd:import namespace="1c38fdb4-1747-4dca-af8f-c7007eb06d70"/>
    <xsd:import namespace="6e42b2f1-9ab2-4267-92c0-eb149fc9e54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38fdb4-1747-4dca-af8f-c7007eb06d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42b2f1-9ab2-4267-92c0-eb149fc9e54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1222C-70BE-4FC1-B5C8-1199DF1AEFEB}">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e42b2f1-9ab2-4267-92c0-eb149fc9e547"/>
    <ds:schemaRef ds:uri="1c38fdb4-1747-4dca-af8f-c7007eb06d7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B525AE7-EF7A-439B-A516-B84899FE93D4}">
  <ds:schemaRefs>
    <ds:schemaRef ds:uri="http://schemas.microsoft.com/sharepoint/v3/contenttype/forms"/>
  </ds:schemaRefs>
</ds:datastoreItem>
</file>

<file path=customXml/itemProps3.xml><?xml version="1.0" encoding="utf-8"?>
<ds:datastoreItem xmlns:ds="http://schemas.openxmlformats.org/officeDocument/2006/customXml" ds:itemID="{FCA26A5A-A406-48AC-BA7F-5FC036714026}">
  <ds:schemaRefs>
    <ds:schemaRef ds:uri="http://www.w3.org/2001/XMLSchema"/>
    <ds:schemaRef ds:uri="http://www.boozallen.com/argo/guid"/>
  </ds:schemaRefs>
</ds:datastoreItem>
</file>

<file path=customXml/itemProps4.xml><?xml version="1.0" encoding="utf-8"?>
<ds:datastoreItem xmlns:ds="http://schemas.openxmlformats.org/officeDocument/2006/customXml" ds:itemID="{32C91FD9-99B1-413E-B19E-C620D1A61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38fdb4-1747-4dca-af8f-c7007eb06d70"/>
    <ds:schemaRef ds:uri="6e42b2f1-9ab2-4267-92c0-eb149fc9e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Introduction</vt:lpstr>
      <vt:lpstr>Choix des indicateurs</vt:lpstr>
      <vt:lpstr>Taille des échantillons</vt:lpstr>
      <vt:lpstr>Résultats de l'échantillonnage</vt:lpstr>
      <vt:lpstr>Formules et données</vt:lpstr>
    </vt:vector>
  </TitlesOfParts>
  <Company>UAB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1000481</dc:creator>
  <cp:lastModifiedBy>DOMAIN Isabelle</cp:lastModifiedBy>
  <cp:lastPrinted>2019-03-06T10:02:59Z</cp:lastPrinted>
  <dcterms:created xsi:type="dcterms:W3CDTF">2019-02-06T08:29:28Z</dcterms:created>
  <dcterms:modified xsi:type="dcterms:W3CDTF">2021-08-30T15:07:12Z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0x010100B032FB512632054CB512777EECDF64F7</vt:lpwstr>
  </property>
</Properties>
</file>